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2" activeTab="2"/>
  </bookViews>
  <sheets>
    <sheet name="Sheet1" sheetId="1" state="hidden" r:id="rId1"/>
    <sheet name="Biểu tạm cấp" sheetId="2" state="hidden" r:id="rId2"/>
    <sheet name="Biểu 01" sheetId="3" r:id="rId3"/>
  </sheets>
  <externalReferences>
    <externalReference r:id="rId4"/>
    <externalReference r:id="rId5"/>
    <externalReference r:id="rId6"/>
  </externalReferences>
  <definedNames>
    <definedName name="_xlnm._FilterDatabase" localSheetId="2" hidden="1">'Biểu 01'!$A$7:$H$8</definedName>
    <definedName name="_xlnm._FilterDatabase" localSheetId="1" hidden="1">'Biểu tạm cấp'!$A$7:$P$108</definedName>
    <definedName name="_xlnm._FilterDatabase" localSheetId="0" hidden="1">Sheet1!$A$7:$P$104</definedName>
    <definedName name="_xlnm.Print_Titles" localSheetId="2">'Biểu 01'!$5:$6</definedName>
    <definedName name="_xlnm.Print_Titles" localSheetId="1">'Biểu tạm cấp'!$5:$6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9" i="3"/>
  <c r="G12" i="3" l="1"/>
  <c r="G8" i="3" s="1"/>
  <c r="E45" i="2"/>
  <c r="F47" i="2"/>
  <c r="D47" i="2" s="1"/>
  <c r="F46" i="2"/>
  <c r="F45" i="2" l="1"/>
  <c r="D45" i="2"/>
  <c r="D46" i="2"/>
  <c r="E11" i="2"/>
  <c r="F11" i="2" l="1"/>
  <c r="E68" i="2"/>
  <c r="E65" i="2"/>
  <c r="E57" i="2"/>
  <c r="E54" i="2"/>
  <c r="E51" i="2"/>
  <c r="E48" i="2"/>
  <c r="F48" i="2" s="1"/>
  <c r="U38" i="2" l="1"/>
  <c r="T37" i="2"/>
  <c r="T36" i="2"/>
  <c r="T35" i="2"/>
  <c r="T34" i="2"/>
  <c r="T33" i="2"/>
  <c r="T32" i="2"/>
  <c r="T38" i="2" s="1"/>
  <c r="V38" i="2" l="1"/>
  <c r="E25" i="2"/>
  <c r="F19" i="2"/>
  <c r="F14" i="2" l="1"/>
  <c r="D14" i="2" s="1"/>
  <c r="E13" i="2"/>
  <c r="L108" i="2" l="1"/>
  <c r="M108" i="2" s="1"/>
  <c r="N108" i="2" s="1"/>
  <c r="D108" i="2"/>
  <c r="L105" i="2"/>
  <c r="M105" i="2" s="1"/>
  <c r="N105" i="2" s="1"/>
  <c r="D105" i="2"/>
  <c r="L102" i="2"/>
  <c r="M102" i="2" s="1"/>
  <c r="N102" i="2" s="1"/>
  <c r="D102" i="2"/>
  <c r="L99" i="2"/>
  <c r="M99" i="2" s="1"/>
  <c r="N99" i="2" s="1"/>
  <c r="D99" i="2"/>
  <c r="L95" i="2"/>
  <c r="M95" i="2" s="1"/>
  <c r="N95" i="2" s="1"/>
  <c r="D95" i="2"/>
  <c r="L92" i="2"/>
  <c r="M92" i="2" s="1"/>
  <c r="N92" i="2" s="1"/>
  <c r="D92" i="2"/>
  <c r="L89" i="2"/>
  <c r="M89" i="2" s="1"/>
  <c r="N89" i="2" s="1"/>
  <c r="D89" i="2"/>
  <c r="L86" i="2"/>
  <c r="M86" i="2" s="1"/>
  <c r="N86" i="2" s="1"/>
  <c r="D86" i="2"/>
  <c r="L82" i="2"/>
  <c r="M82" i="2" s="1"/>
  <c r="N82" i="2" s="1"/>
  <c r="D82" i="2"/>
  <c r="L79" i="2"/>
  <c r="M79" i="2" s="1"/>
  <c r="N79" i="2" s="1"/>
  <c r="D79" i="2"/>
  <c r="L76" i="2"/>
  <c r="M76" i="2" s="1"/>
  <c r="N76" i="2" s="1"/>
  <c r="D76" i="2"/>
  <c r="L73" i="2"/>
  <c r="M73" i="2" s="1"/>
  <c r="N73" i="2" s="1"/>
  <c r="D73" i="2"/>
  <c r="L68" i="2"/>
  <c r="M68" i="2" s="1"/>
  <c r="N68" i="2" s="1"/>
  <c r="F68" i="2"/>
  <c r="D68" i="2" s="1"/>
  <c r="L65" i="2"/>
  <c r="M65" i="2" s="1"/>
  <c r="N65" i="2" s="1"/>
  <c r="F65" i="2"/>
  <c r="D65" i="2" s="1"/>
  <c r="L57" i="2"/>
  <c r="M57" i="2" s="1"/>
  <c r="N57" i="2" s="1"/>
  <c r="F57" i="2"/>
  <c r="D57" i="2" s="1"/>
  <c r="L54" i="2"/>
  <c r="M54" i="2" s="1"/>
  <c r="N54" i="2" s="1"/>
  <c r="F54" i="2"/>
  <c r="D54" i="2" s="1"/>
  <c r="L51" i="2"/>
  <c r="M51" i="2" s="1"/>
  <c r="N51" i="2" s="1"/>
  <c r="F51" i="2"/>
  <c r="D51" i="2" s="1"/>
  <c r="F107" i="2"/>
  <c r="D107" i="2" s="1"/>
  <c r="I107" i="2" s="1"/>
  <c r="E103" i="2"/>
  <c r="F104" i="2"/>
  <c r="D104" i="2" s="1"/>
  <c r="I104" i="2" s="1"/>
  <c r="E100" i="2"/>
  <c r="F101" i="2"/>
  <c r="F100" i="2" s="1"/>
  <c r="E97" i="2"/>
  <c r="F98" i="2"/>
  <c r="F97" i="2" s="1"/>
  <c r="C96" i="2"/>
  <c r="E93" i="2"/>
  <c r="F94" i="2"/>
  <c r="D94" i="2" s="1"/>
  <c r="E90" i="2"/>
  <c r="F91" i="2"/>
  <c r="D91" i="2" s="1"/>
  <c r="D88" i="2"/>
  <c r="I88" i="2" s="1"/>
  <c r="E87" i="2"/>
  <c r="L85" i="2"/>
  <c r="M85" i="2" s="1"/>
  <c r="N85" i="2" s="1"/>
  <c r="F85" i="2"/>
  <c r="F84" i="2" s="1"/>
  <c r="E84" i="2"/>
  <c r="C83" i="2"/>
  <c r="F81" i="2"/>
  <c r="D81" i="2" s="1"/>
  <c r="E80" i="2"/>
  <c r="F78" i="2"/>
  <c r="F77" i="2" s="1"/>
  <c r="E77" i="2"/>
  <c r="E74" i="2"/>
  <c r="F75" i="2"/>
  <c r="D75" i="2" s="1"/>
  <c r="E71" i="2"/>
  <c r="K72" i="2"/>
  <c r="L72" i="2" s="1"/>
  <c r="F72" i="2"/>
  <c r="D72" i="2" s="1"/>
  <c r="C70" i="2"/>
  <c r="E67" i="2"/>
  <c r="E64" i="2"/>
  <c r="F64" i="2" s="1"/>
  <c r="E63" i="2"/>
  <c r="F63" i="2" s="1"/>
  <c r="E62" i="2"/>
  <c r="E61" i="2"/>
  <c r="F61" i="2" s="1"/>
  <c r="E60" i="2"/>
  <c r="E56" i="2"/>
  <c r="E55" i="2" s="1"/>
  <c r="E53" i="2"/>
  <c r="E50" i="2"/>
  <c r="F50" i="2" s="1"/>
  <c r="D50" i="2" s="1"/>
  <c r="L48" i="2"/>
  <c r="M48" i="2" s="1"/>
  <c r="N48" i="2" s="1"/>
  <c r="E39" i="2"/>
  <c r="F39" i="2" s="1"/>
  <c r="D39" i="2" s="1"/>
  <c r="I39" i="2" s="1"/>
  <c r="E42" i="2"/>
  <c r="F42" i="2" s="1"/>
  <c r="D42" i="2" s="1"/>
  <c r="I42" i="2" s="1"/>
  <c r="E41" i="2"/>
  <c r="F41" i="2" s="1"/>
  <c r="E43" i="2"/>
  <c r="E44" i="2" s="1"/>
  <c r="E40" i="2"/>
  <c r="F40" i="2" s="1"/>
  <c r="D40" i="2" s="1"/>
  <c r="I40" i="2" s="1"/>
  <c r="F38" i="2"/>
  <c r="D38" i="2" s="1"/>
  <c r="I38" i="2" s="1"/>
  <c r="E37" i="2"/>
  <c r="F37" i="2" s="1"/>
  <c r="D37" i="2" s="1"/>
  <c r="I37" i="2" s="1"/>
  <c r="E36" i="2"/>
  <c r="E35" i="2"/>
  <c r="F35" i="2" s="1"/>
  <c r="L34" i="2"/>
  <c r="M34" i="2" s="1"/>
  <c r="E34" i="2"/>
  <c r="D30" i="2"/>
  <c r="I30" i="2" s="1"/>
  <c r="F29" i="2"/>
  <c r="D29" i="2" s="1"/>
  <c r="I29" i="2" s="1"/>
  <c r="F28" i="2"/>
  <c r="D27" i="2"/>
  <c r="I27" i="2" s="1"/>
  <c r="F26" i="2"/>
  <c r="D26" i="2" s="1"/>
  <c r="D25" i="2"/>
  <c r="E24" i="2"/>
  <c r="F22" i="2"/>
  <c r="F21" i="2" s="1"/>
  <c r="E21" i="2"/>
  <c r="D20" i="2"/>
  <c r="I20" i="2" s="1"/>
  <c r="D19" i="2"/>
  <c r="I19" i="2" s="1"/>
  <c r="D18" i="2"/>
  <c r="I18" i="2" s="1"/>
  <c r="D17" i="2"/>
  <c r="I17" i="2" s="1"/>
  <c r="D16" i="2"/>
  <c r="I16" i="2" s="1"/>
  <c r="D15" i="2"/>
  <c r="I15" i="2" s="1"/>
  <c r="F13" i="2"/>
  <c r="F12" i="2" s="1"/>
  <c r="E12" i="2"/>
  <c r="D11" i="2"/>
  <c r="F10" i="2"/>
  <c r="D10" i="2" s="1"/>
  <c r="I10" i="2" s="1"/>
  <c r="E9" i="2"/>
  <c r="E9" i="1"/>
  <c r="F26" i="1"/>
  <c r="D26" i="1" s="1"/>
  <c r="D101" i="2" l="1"/>
  <c r="D98" i="2"/>
  <c r="I98" i="2" s="1"/>
  <c r="F44" i="2"/>
  <c r="D44" i="2" s="1"/>
  <c r="I44" i="2" s="1"/>
  <c r="D22" i="2"/>
  <c r="F43" i="2"/>
  <c r="D43" i="2" s="1"/>
  <c r="I43" i="2" s="1"/>
  <c r="D85" i="2"/>
  <c r="I85" i="2" s="1"/>
  <c r="D49" i="2"/>
  <c r="F34" i="2"/>
  <c r="D34" i="2" s="1"/>
  <c r="E33" i="2"/>
  <c r="E32" i="2" s="1"/>
  <c r="F67" i="2"/>
  <c r="F66" i="2" s="1"/>
  <c r="E66" i="2"/>
  <c r="F60" i="2"/>
  <c r="D60" i="2" s="1"/>
  <c r="E59" i="2"/>
  <c r="E58" i="2" s="1"/>
  <c r="F53" i="2"/>
  <c r="F52" i="2" s="1"/>
  <c r="E52" i="2"/>
  <c r="D78" i="2"/>
  <c r="I78" i="2" s="1"/>
  <c r="F9" i="2"/>
  <c r="D9" i="2"/>
  <c r="E49" i="2"/>
  <c r="F56" i="2"/>
  <c r="F55" i="2" s="1"/>
  <c r="D13" i="2"/>
  <c r="D12" i="2" s="1"/>
  <c r="E83" i="2"/>
  <c r="E70" i="2"/>
  <c r="F49" i="2"/>
  <c r="I50" i="2"/>
  <c r="I94" i="2"/>
  <c r="D93" i="2"/>
  <c r="I75" i="2"/>
  <c r="N34" i="2"/>
  <c r="O34" i="2" s="1"/>
  <c r="P34" i="2" s="1"/>
  <c r="P35" i="2" s="1"/>
  <c r="D24" i="2"/>
  <c r="I25" i="2"/>
  <c r="I81" i="2"/>
  <c r="D87" i="2"/>
  <c r="F87" i="2"/>
  <c r="F90" i="2"/>
  <c r="D106" i="2"/>
  <c r="E106" i="2"/>
  <c r="E96" i="2" s="1"/>
  <c r="F106" i="2"/>
  <c r="F36" i="2"/>
  <c r="D36" i="2" s="1"/>
  <c r="I36" i="2" s="1"/>
  <c r="F24" i="2"/>
  <c r="F62" i="2"/>
  <c r="D62" i="2" s="1"/>
  <c r="I62" i="2" s="1"/>
  <c r="D84" i="2"/>
  <c r="I72" i="2"/>
  <c r="D74" i="2"/>
  <c r="F80" i="2"/>
  <c r="I91" i="2"/>
  <c r="D63" i="2"/>
  <c r="I63" i="2" s="1"/>
  <c r="D71" i="2"/>
  <c r="D90" i="2"/>
  <c r="D80" i="2"/>
  <c r="F71" i="2"/>
  <c r="D61" i="2"/>
  <c r="I61" i="2" s="1"/>
  <c r="D64" i="2"/>
  <c r="I64" i="2" s="1"/>
  <c r="F74" i="2"/>
  <c r="D35" i="2"/>
  <c r="I35" i="2" s="1"/>
  <c r="D41" i="2"/>
  <c r="I41" i="2" s="1"/>
  <c r="D48" i="2"/>
  <c r="I101" i="2" l="1"/>
  <c r="D100" i="2"/>
  <c r="I22" i="2"/>
  <c r="D21" i="2"/>
  <c r="D56" i="2"/>
  <c r="D55" i="2" s="1"/>
  <c r="D97" i="2"/>
  <c r="D77" i="2"/>
  <c r="D33" i="2"/>
  <c r="D32" i="2" s="1"/>
  <c r="D67" i="2"/>
  <c r="D66" i="2" s="1"/>
  <c r="D53" i="2"/>
  <c r="D52" i="2" s="1"/>
  <c r="F33" i="2"/>
  <c r="F32" i="2" s="1"/>
  <c r="I13" i="2"/>
  <c r="F59" i="2"/>
  <c r="F58" i="2" s="1"/>
  <c r="D70" i="2"/>
  <c r="E69" i="2"/>
  <c r="E31" i="2"/>
  <c r="E23" i="2" s="1"/>
  <c r="F70" i="2"/>
  <c r="I60" i="2"/>
  <c r="D59" i="2"/>
  <c r="D58" i="2" s="1"/>
  <c r="F93" i="2"/>
  <c r="F83" i="2" s="1"/>
  <c r="F103" i="2"/>
  <c r="F96" i="2" s="1"/>
  <c r="D103" i="2"/>
  <c r="D83" i="2"/>
  <c r="I34" i="2"/>
  <c r="I56" i="2" l="1"/>
  <c r="I67" i="2"/>
  <c r="I53" i="2"/>
  <c r="D96" i="2"/>
  <c r="D69" i="2" s="1"/>
  <c r="F31" i="2"/>
  <c r="F23" i="2" s="1"/>
  <c r="E8" i="2"/>
  <c r="F69" i="2"/>
  <c r="D31" i="2"/>
  <c r="D23" i="2" s="1"/>
  <c r="F8" i="2" l="1"/>
  <c r="D8" i="2"/>
  <c r="K8" i="2" s="1"/>
  <c r="E64" i="1" l="1"/>
  <c r="F64" i="1" s="1"/>
  <c r="E61" i="1"/>
  <c r="F61" i="1" s="1"/>
  <c r="E53" i="1"/>
  <c r="F53" i="1" s="1"/>
  <c r="E50" i="1"/>
  <c r="F50" i="1" s="1"/>
  <c r="E47" i="1"/>
  <c r="F47" i="1" s="1"/>
  <c r="E44" i="1"/>
  <c r="E95" i="1"/>
  <c r="F95" i="1" s="1"/>
  <c r="C104" i="1"/>
  <c r="E104" i="1" s="1"/>
  <c r="F104" i="1" s="1"/>
  <c r="C101" i="1"/>
  <c r="E101" i="1" s="1"/>
  <c r="F101" i="1" s="1"/>
  <c r="C98" i="1"/>
  <c r="E98" i="1" s="1"/>
  <c r="F98" i="1" s="1"/>
  <c r="L95" i="1"/>
  <c r="M95" i="1" s="1"/>
  <c r="N95" i="1" s="1"/>
  <c r="E91" i="1"/>
  <c r="F91" i="1" s="1"/>
  <c r="E88" i="1"/>
  <c r="F88" i="1" s="1"/>
  <c r="E85" i="1"/>
  <c r="F85" i="1" s="1"/>
  <c r="E82" i="1"/>
  <c r="F82" i="1" s="1"/>
  <c r="L81" i="1"/>
  <c r="M81" i="1" s="1"/>
  <c r="N81" i="1" s="1"/>
  <c r="E78" i="1"/>
  <c r="F78" i="1" s="1"/>
  <c r="E75" i="1"/>
  <c r="F75" i="1" s="1"/>
  <c r="E72" i="1"/>
  <c r="F72" i="1" s="1"/>
  <c r="E69" i="1"/>
  <c r="F69" i="1" s="1"/>
  <c r="K68" i="1"/>
  <c r="L68" i="1" s="1"/>
  <c r="C66" i="1"/>
  <c r="C79" i="1"/>
  <c r="C92" i="1"/>
  <c r="L44" i="1" l="1"/>
  <c r="M44" i="1" s="1"/>
  <c r="N44" i="1" s="1"/>
  <c r="L34" i="1"/>
  <c r="M34" i="1" s="1"/>
  <c r="E24" i="1"/>
  <c r="E21" i="1"/>
  <c r="E13" i="1"/>
  <c r="N34" i="1" l="1"/>
  <c r="O34" i="1" s="1"/>
  <c r="P34" i="1" s="1"/>
  <c r="P35" i="1" s="1"/>
  <c r="D64" i="1"/>
  <c r="J47" i="1" s="1"/>
  <c r="D61" i="1" l="1"/>
  <c r="J46" i="1" s="1"/>
  <c r="D53" i="1"/>
  <c r="J45" i="1" s="1"/>
  <c r="D50" i="1"/>
  <c r="J44" i="1" s="1"/>
  <c r="F44" i="1"/>
  <c r="D44" i="1" s="1"/>
  <c r="J42" i="1" s="1"/>
  <c r="F28" i="1" l="1"/>
  <c r="E34" i="1"/>
  <c r="E49" i="1"/>
  <c r="F10" i="1" l="1"/>
  <c r="F9" i="1" s="1"/>
  <c r="D10" i="1" l="1"/>
  <c r="F22" i="1"/>
  <c r="F21" i="1" s="1"/>
  <c r="F15" i="1"/>
  <c r="I10" i="1" l="1"/>
  <c r="D27" i="1"/>
  <c r="I27" i="1" s="1"/>
  <c r="E60" i="1" l="1"/>
  <c r="F60" i="1" s="1"/>
  <c r="D60" i="1" s="1"/>
  <c r="I60" i="1" s="1"/>
  <c r="F29" i="1" l="1"/>
  <c r="F38" i="1" l="1"/>
  <c r="D15" i="1"/>
  <c r="I15" i="1" s="1"/>
  <c r="D16" i="1"/>
  <c r="I16" i="1" s="1"/>
  <c r="D17" i="1"/>
  <c r="I17" i="1" s="1"/>
  <c r="D18" i="1"/>
  <c r="I18" i="1" s="1"/>
  <c r="D19" i="1"/>
  <c r="I19" i="1" s="1"/>
  <c r="D29" i="1"/>
  <c r="I29" i="1" s="1"/>
  <c r="D22" i="1"/>
  <c r="D20" i="1"/>
  <c r="I20" i="1" s="1"/>
  <c r="F14" i="1"/>
  <c r="D21" i="1" l="1"/>
  <c r="I22" i="1"/>
  <c r="D14" i="1"/>
  <c r="D13" i="1" s="1"/>
  <c r="F13" i="1"/>
  <c r="D47" i="1"/>
  <c r="J43" i="1" s="1"/>
  <c r="D11" i="1"/>
  <c r="D12" i="1"/>
  <c r="I12" i="1" s="1"/>
  <c r="F25" i="1"/>
  <c r="D30" i="1"/>
  <c r="I30" i="1" s="1"/>
  <c r="D9" i="1" l="1"/>
  <c r="I14" i="1"/>
  <c r="D25" i="1"/>
  <c r="D24" i="1" s="1"/>
  <c r="F24" i="1"/>
  <c r="E63" i="1"/>
  <c r="E62" i="1" s="1"/>
  <c r="E59" i="1"/>
  <c r="E58" i="1"/>
  <c r="E57" i="1"/>
  <c r="E56" i="1"/>
  <c r="I25" i="1" l="1"/>
  <c r="E55" i="1"/>
  <c r="E54" i="1" s="1"/>
  <c r="F56" i="1"/>
  <c r="F63" i="1"/>
  <c r="F62" i="1" s="1"/>
  <c r="F59" i="1"/>
  <c r="D59" i="1" s="1"/>
  <c r="I59" i="1" s="1"/>
  <c r="F58" i="1"/>
  <c r="D58" i="1" s="1"/>
  <c r="I58" i="1" s="1"/>
  <c r="F57" i="1"/>
  <c r="D56" i="1" l="1"/>
  <c r="I56" i="1" s="1"/>
  <c r="F55" i="1"/>
  <c r="F54" i="1" s="1"/>
  <c r="D63" i="1"/>
  <c r="D57" i="1"/>
  <c r="I57" i="1" s="1"/>
  <c r="D62" i="1" l="1"/>
  <c r="I63" i="1"/>
  <c r="D55" i="1"/>
  <c r="D54" i="1" s="1"/>
  <c r="E43" i="1"/>
  <c r="F43" i="1" s="1"/>
  <c r="D43" i="1" s="1"/>
  <c r="I43" i="1" s="1"/>
  <c r="E42" i="1"/>
  <c r="E41" i="1"/>
  <c r="F41" i="1" s="1"/>
  <c r="D41" i="1" s="1"/>
  <c r="I41" i="1" s="1"/>
  <c r="E40" i="1"/>
  <c r="F40" i="1" s="1"/>
  <c r="D40" i="1" s="1"/>
  <c r="I40" i="1" s="1"/>
  <c r="D38" i="1"/>
  <c r="I38" i="1" s="1"/>
  <c r="F42" i="1" l="1"/>
  <c r="D42" i="1" s="1"/>
  <c r="I42" i="1" s="1"/>
  <c r="E39" i="1" l="1"/>
  <c r="E35" i="1"/>
  <c r="E46" i="1"/>
  <c r="E45" i="1" s="1"/>
  <c r="E52" i="1"/>
  <c r="E48" i="1"/>
  <c r="E36" i="1"/>
  <c r="E37" i="1"/>
  <c r="E33" i="1" l="1"/>
  <c r="F37" i="1"/>
  <c r="D37" i="1" s="1"/>
  <c r="I37" i="1" s="1"/>
  <c r="F35" i="1"/>
  <c r="D35" i="1" s="1"/>
  <c r="I35" i="1" s="1"/>
  <c r="F36" i="1"/>
  <c r="D36" i="1" s="1"/>
  <c r="I36" i="1" s="1"/>
  <c r="F52" i="1"/>
  <c r="F51" i="1" s="1"/>
  <c r="E51" i="1"/>
  <c r="F39" i="1"/>
  <c r="D39" i="1" s="1"/>
  <c r="I39" i="1" s="1"/>
  <c r="F46" i="1"/>
  <c r="F49" i="1"/>
  <c r="E32" i="1" l="1"/>
  <c r="E31" i="1" s="1"/>
  <c r="D49" i="1"/>
  <c r="F48" i="1"/>
  <c r="D46" i="1"/>
  <c r="F45" i="1"/>
  <c r="D52" i="1"/>
  <c r="D51" i="1" l="1"/>
  <c r="I52" i="1"/>
  <c r="D45" i="1"/>
  <c r="I46" i="1"/>
  <c r="D48" i="1"/>
  <c r="I49" i="1"/>
  <c r="E102" i="1"/>
  <c r="E99" i="1"/>
  <c r="E96" i="1"/>
  <c r="E93" i="1"/>
  <c r="F94" i="1"/>
  <c r="D94" i="1" s="1"/>
  <c r="I94" i="1" s="1"/>
  <c r="F97" i="1"/>
  <c r="D97" i="1" s="1"/>
  <c r="I97" i="1" s="1"/>
  <c r="F100" i="1"/>
  <c r="D100" i="1" s="1"/>
  <c r="I100" i="1" s="1"/>
  <c r="F103" i="1"/>
  <c r="D103" i="1" s="1"/>
  <c r="I103" i="1" s="1"/>
  <c r="D95" i="1"/>
  <c r="D98" i="1"/>
  <c r="D101" i="1"/>
  <c r="D104" i="1"/>
  <c r="E80" i="1"/>
  <c r="F83" i="1"/>
  <c r="E83" i="1"/>
  <c r="E86" i="1"/>
  <c r="E89" i="1"/>
  <c r="D91" i="1"/>
  <c r="F90" i="1"/>
  <c r="F89" i="1" s="1"/>
  <c r="D88" i="1"/>
  <c r="F87" i="1"/>
  <c r="D87" i="1" s="1"/>
  <c r="D85" i="1"/>
  <c r="D84" i="1"/>
  <c r="D82" i="1"/>
  <c r="F81" i="1"/>
  <c r="F80" i="1" s="1"/>
  <c r="D81" i="1"/>
  <c r="I81" i="1" s="1"/>
  <c r="E73" i="1"/>
  <c r="E76" i="1"/>
  <c r="D78" i="1"/>
  <c r="F77" i="1"/>
  <c r="F76" i="1" s="1"/>
  <c r="E70" i="1"/>
  <c r="D75" i="1"/>
  <c r="F74" i="1"/>
  <c r="D74" i="1" s="1"/>
  <c r="D72" i="1"/>
  <c r="F71" i="1"/>
  <c r="F70" i="1" s="1"/>
  <c r="E67" i="1"/>
  <c r="D69" i="1"/>
  <c r="F68" i="1"/>
  <c r="D68" i="1" s="1"/>
  <c r="D67" i="1" l="1"/>
  <c r="I68" i="1"/>
  <c r="D73" i="1"/>
  <c r="I74" i="1"/>
  <c r="E66" i="1"/>
  <c r="D83" i="1"/>
  <c r="I84" i="1"/>
  <c r="D86" i="1"/>
  <c r="I87" i="1"/>
  <c r="D99" i="1"/>
  <c r="D93" i="1"/>
  <c r="D102" i="1"/>
  <c r="D80" i="1"/>
  <c r="D96" i="1"/>
  <c r="E79" i="1"/>
  <c r="D77" i="1"/>
  <c r="D71" i="1"/>
  <c r="F99" i="1"/>
  <c r="E92" i="1"/>
  <c r="F102" i="1"/>
  <c r="D90" i="1"/>
  <c r="F93" i="1"/>
  <c r="F96" i="1"/>
  <c r="F86" i="1"/>
  <c r="F79" i="1" s="1"/>
  <c r="F73" i="1"/>
  <c r="F67" i="1"/>
  <c r="F66" i="1" s="1"/>
  <c r="D89" i="1" l="1"/>
  <c r="I90" i="1"/>
  <c r="D70" i="1"/>
  <c r="I71" i="1"/>
  <c r="D76" i="1"/>
  <c r="I77" i="1"/>
  <c r="D79" i="1"/>
  <c r="D92" i="1"/>
  <c r="E65" i="1"/>
  <c r="F92" i="1"/>
  <c r="F65" i="1" s="1"/>
  <c r="D66" i="1" l="1"/>
  <c r="D65" i="1" s="1"/>
  <c r="F34" i="1"/>
  <c r="D34" i="1" l="1"/>
  <c r="F33" i="1"/>
  <c r="D33" i="1" l="1"/>
  <c r="D32" i="1" s="1"/>
  <c r="D31" i="1" s="1"/>
  <c r="D23" i="1" s="1"/>
  <c r="I34" i="1"/>
  <c r="F32" i="1"/>
  <c r="E23" i="1"/>
  <c r="E8" i="1" s="1"/>
  <c r="F31" i="1" l="1"/>
  <c r="F23" i="1" s="1"/>
  <c r="F8" i="1" s="1"/>
  <c r="D8" i="1"/>
  <c r="K8" i="1" s="1"/>
</calcChain>
</file>

<file path=xl/sharedStrings.xml><?xml version="1.0" encoding="utf-8"?>
<sst xmlns="http://schemas.openxmlformats.org/spreadsheetml/2006/main" count="345" uniqueCount="144">
  <si>
    <t>TT</t>
  </si>
  <si>
    <t>Ghi chú</t>
  </si>
  <si>
    <t>ĐVT: Đồng</t>
  </si>
  <si>
    <t>Chi lương, phụ cấp và các khoản đóng góp</t>
  </si>
  <si>
    <t>Tháng 7</t>
  </si>
  <si>
    <t>Tháng 8</t>
  </si>
  <si>
    <t>3=4+5</t>
  </si>
  <si>
    <t>Nội dung chi</t>
  </si>
  <si>
    <t>I</t>
  </si>
  <si>
    <t>Văn phòng HĐND và UBND</t>
  </si>
  <si>
    <t>II</t>
  </si>
  <si>
    <t>Trung tâm Phục vụ hành chính công</t>
  </si>
  <si>
    <t>III</t>
  </si>
  <si>
    <t>Phòng Kinh tế</t>
  </si>
  <si>
    <t>Phòng Văn hoá - Xã hội</t>
  </si>
  <si>
    <t>A</t>
  </si>
  <si>
    <t>B</t>
  </si>
  <si>
    <t>Văn phòng Đảng uỷ xã</t>
  </si>
  <si>
    <t>Mặt trận tổ quốc và đoàn thể</t>
  </si>
  <si>
    <t>C</t>
  </si>
  <si>
    <t>Trường Mầm non Thượng Hoà</t>
  </si>
  <si>
    <t>1.1</t>
  </si>
  <si>
    <t>1.2</t>
  </si>
  <si>
    <t>Trường Mầm non Thanh Lạc</t>
  </si>
  <si>
    <t>Trường Mầm non Sơn Thành</t>
  </si>
  <si>
    <t>Trường Mầm non Văn Phú</t>
  </si>
  <si>
    <t>1.3</t>
  </si>
  <si>
    <t>1.4</t>
  </si>
  <si>
    <t>Khối Tiểu học</t>
  </si>
  <si>
    <t>Khối Mầm non</t>
  </si>
  <si>
    <t>Trường Tiểu học Thượng Hoà</t>
  </si>
  <si>
    <t>Trường Tiểu học Thanh Lạc</t>
  </si>
  <si>
    <t>Trường Tiểu học Sơn Thành</t>
  </si>
  <si>
    <t>Trường Tiểu học Văn Phú</t>
  </si>
  <si>
    <t>Khối Trung học cơ sở</t>
  </si>
  <si>
    <t>Trường THCS Thượng Hoà</t>
  </si>
  <si>
    <t>Trường THCS Thanh Lạc</t>
  </si>
  <si>
    <t>Trường THCS Sơn Thành</t>
  </si>
  <si>
    <t>Trường THCS Văn Phú</t>
  </si>
  <si>
    <t>Trong đó</t>
  </si>
  <si>
    <t xml:space="preserve">Tổng kinh phí </t>
  </si>
  <si>
    <t>(Kèm theo Quyết định số         /QĐ-UBND ngày      tháng 7 năm 2025 của UBND xã Thanh Sơn)</t>
  </si>
  <si>
    <t>Số biên chế được giao</t>
  </si>
  <si>
    <t>Lãnh đạo HĐND và UBND xã</t>
  </si>
  <si>
    <t>Cán bộ, chuyên viên Văn phòng</t>
  </si>
  <si>
    <t>Nhân viên HĐ 111</t>
  </si>
  <si>
    <t>Các ban HĐND xã</t>
  </si>
  <si>
    <t>Ban chỉ huy Quân sự xã</t>
  </si>
  <si>
    <t>Phụ cấp cán bộ không chuyên trách, các hội đặc thù</t>
  </si>
  <si>
    <t>1.5</t>
  </si>
  <si>
    <t>1.6</t>
  </si>
  <si>
    <t>Kinh phí hỗ trợ lực lượng an ninh cơ sở theo NQ 03/NQ-HĐND năm 2024</t>
  </si>
  <si>
    <t>Trợ cấp cán bộ hưu xã</t>
  </si>
  <si>
    <t>1.7</t>
  </si>
  <si>
    <t>1.8</t>
  </si>
  <si>
    <t>1.9</t>
  </si>
  <si>
    <t>1.10</t>
  </si>
  <si>
    <t>Tạm tính</t>
  </si>
  <si>
    <t>Chi phí triển khai sử dụng phần mềm quản lý đảng viên 3.0</t>
  </si>
  <si>
    <t>Chi các hoạt động kỷ niệm ngày Thương binh Liệt sỹ 27/7/2025</t>
  </si>
  <si>
    <t>Kinh phí hỗ trợ hộ nghèo có thành viên là người có công theo Nghị quyết số 23/2020 ngày 27/5/2020 của Hội đồng nhân dân tỉnh Ninh Bình</t>
  </si>
  <si>
    <t>Kinh phí hỗ trợ hàng tháng cho đối tượng có hoàn cảnh khó khăn trên địa bàn (NQ 130)</t>
  </si>
  <si>
    <t>Kinh phí trợ cấp thường xuyên cho đối tượng là thanh niên xung phong đã hoàn thành nhiệm vụ trong kháng chiến</t>
  </si>
  <si>
    <t>Kinh phí Mai táng phí cho các đối tượng CCB, TNXP, người tham gia kháng chiến</t>
  </si>
  <si>
    <t>Bảo hiểm y tế cho đối tượng Nghị định số 150/2006; Nghị định số 290/2005; Nghị định số 157/2016; Quyết định số 62/2011; Quyết định số 49/2015/QĐ - TTg (SN Y tế)</t>
  </si>
  <si>
    <t>Lương, phụ cấp Lãnh đạo Đảng uỷ</t>
  </si>
  <si>
    <t>Lương, phụ cấp Văn phòng ĐU</t>
  </si>
  <si>
    <t>Lương, phụ cấp Ban xây dựng đảng</t>
  </si>
  <si>
    <t>Lương, phụ cấp Uỷ ban kiểm tra đảng uỷ</t>
  </si>
  <si>
    <t>Phụ cấp Đại biểu HĐND</t>
  </si>
  <si>
    <t>Chi trả trợ cấp bảo trợ xã hội theo Nghị định 20/2021/NĐ-CP</t>
  </si>
  <si>
    <t>Chi phụ cấp cán bộ không chuyên trách khối Đảng uỷ</t>
  </si>
  <si>
    <t>Chi thực hiện các nhiệm vụ liên quan đến thực hiện chính quyền 02 cấp</t>
  </si>
  <si>
    <t>Chi các nhiệm vụ đột xuất trong quá trình xử lý sai phạm về quản lý đất đai, tài nguyên môi trường trên địa bàn xã</t>
  </si>
  <si>
    <t>(Chi nguồn 550 huyện cấp bổ sung)</t>
  </si>
  <si>
    <t>Kinh phí tổ chức Đại hội Đảng</t>
  </si>
  <si>
    <t>Số dư còn lại tại 3 xã sau sát nhập</t>
  </si>
  <si>
    <t>HĐ nhân viên phục vụ UB</t>
  </si>
  <si>
    <t>TỔNG HỢP TẠM CẤP BỔ SUNG KINH PHÍ CHO CÁC CƠ QUAN, ĐƠN VỊ DỰ TOÁN THUỘC UBND XÃ</t>
  </si>
  <si>
    <t>SỰ NGHIỆP QUẢN LÝ NHÀ NƯỚC, ĐẢNG, ĐOÀN THỂ</t>
  </si>
  <si>
    <t>SỰ NGHIỆP KINH TẾ</t>
  </si>
  <si>
    <t>ĐẢM BẢO XÃ HỘI</t>
  </si>
  <si>
    <t>SỰ NGHIỆP Y TẾ</t>
  </si>
  <si>
    <t>D</t>
  </si>
  <si>
    <t>Chi hoạt động quản lý nhà nước, Đảng, đoàn thể khác</t>
  </si>
  <si>
    <t xml:space="preserve">Kinh phí trợ cấp đối với Đảng viên được tặng huy hiệu 40 năm tuổi đảng trở lên </t>
  </si>
  <si>
    <t>TẠM CẤP KINH PHÍ CÁC ĐƠN VỊ DỰ TOÁN</t>
  </si>
  <si>
    <t>II.1</t>
  </si>
  <si>
    <t>II.2</t>
  </si>
  <si>
    <t>II.3</t>
  </si>
  <si>
    <t>II.4</t>
  </si>
  <si>
    <t>II.5</t>
  </si>
  <si>
    <t>II.6</t>
  </si>
  <si>
    <t>E</t>
  </si>
  <si>
    <t>SỰ NGHIỆP GIÁO DỤC</t>
  </si>
  <si>
    <t xml:space="preserve">Chi các nhiệm vụ liên quan đến tiêu huỷ dịch tả lợn châu phi trên địa bàn xã </t>
  </si>
  <si>
    <t xml:space="preserve">Chi trả thù lao cho lực lượng quản lý đê nhân dân </t>
  </si>
  <si>
    <t>TỔNG CỘNG (A+B+C+D+E)</t>
  </si>
  <si>
    <t>Kinh phí hỗ trợ tiền điện hộ nghèo, hộ chính sách theo Thông tư số 190/2014/TT - BTC ngày 11/12/2014 của Bộ Tài chính</t>
  </si>
  <si>
    <t>Tạm cấp chi theo định mức phân bổ theo tiêu chí biên chế (tạm phân bổ 2.744.000 đồng/người tháng)</t>
  </si>
  <si>
    <t>Tạm cấp chi theo định mức phân bổ theo tiêu chí biên chế (tạm phân bổ 2.448.000 đồng/người/tháng)</t>
  </si>
  <si>
    <t>Tạm cấp chi theo định mức phân bổ theo tiêu chí biên chế (tạm phân bổ 2.300.000 đồng/người/tháng)</t>
  </si>
  <si>
    <t>Tạm cấp chi theo định mức phân bổ theo tiêu chí biên chế (Tạm phân bổ 3.041.000 đồng/người/tháng)</t>
  </si>
  <si>
    <t>Chi liên quan đến các hoạt động chung của UBND xã</t>
  </si>
  <si>
    <t>Chi các hoạt động liên quan đến Đảng uỷ, MTTQ xã</t>
  </si>
  <si>
    <t>Các khoản chi phí phí liên quan đến các hoạt động chung của đơn vị</t>
  </si>
  <si>
    <t>Tháng 8 chi các hoạt động chuẩn bị cho năm học mới</t>
  </si>
  <si>
    <t>Chi các nhiệm vụ liên quan đến các hoạt động chung của UBND xã</t>
  </si>
  <si>
    <t>Chi các nhiệm vụ liên quan đến các hoạt động chung của khối  Đảng uỷ, MTTQ xã</t>
  </si>
  <si>
    <t xml:space="preserve"> CÁC ĐƠN VỊ DỰ TOÁN KHỐI UỶ BAN</t>
  </si>
  <si>
    <t>Chi trả trợ cấp hưu trí xã hội theo Nghị định 176/NĐ-CP</t>
  </si>
  <si>
    <t>Tăng do phòng Văn hoá bổ sung</t>
  </si>
  <si>
    <t>Giảm dự kiến</t>
  </si>
  <si>
    <t>Tạm cấp chi theo định mức phân bổ theo tiêu chí biên chế (Tạm phân bổ 1.800.000 đồng/người/tháng)</t>
  </si>
  <si>
    <t>Chi thực hiện các nhiệm vụ phát sinh thuộc sự nghiệp kinh tế khác</t>
  </si>
  <si>
    <t>(Kèm theo Quyết định số         /QĐ-UBND ngày 23  tháng 7 năm 2025 của UBND xã Thanh Sơn)</t>
  </si>
  <si>
    <t>BIỂU TẠM CẤP BỔ SUNG KINH PHÍ CHO CÁC CƠ QUAN, ĐƠN VỊ DỰ TOÁN THUỘC UBND XÃ</t>
  </si>
  <si>
    <t>Tên đơn vị</t>
  </si>
  <si>
    <t>Chương</t>
  </si>
  <si>
    <t>Khoản</t>
  </si>
  <si>
    <t>Mã nguồn</t>
  </si>
  <si>
    <t>Nhân viên y tế</t>
  </si>
  <si>
    <t>Chương phòng Văn hoá</t>
  </si>
  <si>
    <t>Không chuyên trách (NV Văn hoá)</t>
  </si>
  <si>
    <t>Phụ cấp cán bộ không chuyên trách thuộc VPHĐND</t>
  </si>
  <si>
    <t xml:space="preserve"> -</t>
  </si>
  <si>
    <t>Phụ cấp cán bộ không chuyên trách thuộc phòng Văn Hoá</t>
  </si>
  <si>
    <t>+</t>
  </si>
  <si>
    <t xml:space="preserve"> +</t>
  </si>
  <si>
    <t>Mã QHNS</t>
  </si>
  <si>
    <t>TỔNG CỘNG</t>
  </si>
  <si>
    <t xml:space="preserve">BIỂU CHI TIẾT CẤP BỔ SUNG DỰ TOÁN CHO CÁC ĐƠN VỊ DỰ TOÁN KHỐI TRƯỜNG HỌC </t>
  </si>
  <si>
    <t>Chuẩn</t>
  </si>
  <si>
    <t>Trường Mầm non Quỳnh Lưu</t>
  </si>
  <si>
    <t>071</t>
  </si>
  <si>
    <t>Trường Mầm non Phú Lộc</t>
  </si>
  <si>
    <t>Trường Tiểu học Quỳnh Lưu</t>
  </si>
  <si>
    <t>072</t>
  </si>
  <si>
    <t>Trường Tiểu học Phú Lộc</t>
  </si>
  <si>
    <t>Trường THCS Quỳnh Lưu</t>
  </si>
  <si>
    <t>073</t>
  </si>
  <si>
    <t>Trường THCS Phú Lộc</t>
  </si>
  <si>
    <t>(Kèm theo Thông báo  số 34/TB-NS ngày 14 tháng 05 năm 2026 của Phòng kinh tế xã Quỳnh Lưu)</t>
  </si>
  <si>
    <t>(Bằng chữ: Tám trăm chín mươi lăm triệu hai trăm hai mươi tư nghìn tám trăm hai mươi sáu đồng/.)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</si>
</sst>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</numFmts>
  <fonts count="23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2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2"/>
      <color theme="1"/>
      <name val="Times New Roman"/>
      <family val="1"/>
    </font>
    <font>
      <sz val="14"/>
      <color indexed="8"/>
      <name val="Times New Roman"/>
      <family val="2"/>
    </font>
    <font>
      <sz val="14"/>
      <name val="Times New Roman"/>
      <family val="2"/>
    </font>
    <font>
      <b/>
      <sz val="14"/>
      <name val="Times New Roman"/>
      <family val="2"/>
    </font>
    <font>
      <b/>
      <sz val="13"/>
      <name val="Times New Roman"/>
      <family val="2"/>
    </font>
    <font>
      <i/>
      <sz val="14"/>
      <name val="Times New Roman"/>
      <family val="2"/>
    </font>
    <font>
      <i/>
      <sz val="12"/>
      <name val="Times New Roman"/>
      <family val="2"/>
    </font>
    <font>
      <sz val="13"/>
      <color theme="1"/>
      <name val="Times New Roman"/>
      <family val="1"/>
    </font>
    <font>
      <sz val="12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0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1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8" fillId="4" borderId="0" xfId="1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64" fontId="5" fillId="4" borderId="0" xfId="1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/>
    </xf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8" fillId="4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64" fontId="14" fillId="0" borderId="0" xfId="1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5" fillId="0" borderId="3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3" fontId="16" fillId="4" borderId="0" xfId="0" applyNumberFormat="1" applyFont="1" applyFill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164" fontId="21" fillId="0" borderId="1" xfId="1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2025%20-%20Thanh%20S&#417;n/1.%20T&#7901;%20tr&#236;nh,%20Q&#272;/1.%20T&#7901;%20tr&#236;nh%20&#273;&#7873;%20xu&#7845;t%20d&#7921;%20to&#225;n%20t&#7841;m%20chi%20ng&#226;n%20s&#225;ch%20x&#227;/DS%20CB-CC-NL&#272;%20t&#7841;i%20UBND%20x&#227;%20Thanh%20S&#417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2025%20-%20Thanh%20S&#417;n/1.%20T&#7901;%20tr&#236;nh,%20Q&#272;/1.%20T&#7901;%20tr&#236;nh%20&#273;&#7873;%20xu&#7845;t%20d&#7921;%20to&#225;n%20t&#7841;m%20chi%20ng&#226;n%20s&#225;ch%20x&#227;/DS%20CB-CC-NL&#272;%20t&#7841;i%20&#272;&#7843;ng%20&#7911;y%20x&#227;%20Thanh%20S&#417;n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cuments/Zalo%20Received%20Files/DS%20CB-CC-NL&#272;%20t&#7841;i%20&#272;&#7843;ng%20&#7911;y%20x&#227;%20Thanh%20S&#417;n%20Xin%20ngu&#7891;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, CC xã Thanh Sơn"/>
      <sheetName val="không chuyên trách"/>
      <sheetName val="ANCS"/>
      <sheetName val="Hữu xã"/>
      <sheetName val="HĐND"/>
    </sheetNames>
    <sheetDataSet>
      <sheetData sheetId="0">
        <row r="7">
          <cell r="T7">
            <v>67827006</v>
          </cell>
        </row>
        <row r="13">
          <cell r="T13">
            <v>11111724.000000002</v>
          </cell>
        </row>
        <row r="14">
          <cell r="T14">
            <v>11384100</v>
          </cell>
        </row>
        <row r="15">
          <cell r="T15">
            <v>12507650.999999998</v>
          </cell>
        </row>
        <row r="16">
          <cell r="T16">
            <v>11486241</v>
          </cell>
        </row>
        <row r="17">
          <cell r="T17">
            <v>11805650.999999998</v>
          </cell>
        </row>
        <row r="18">
          <cell r="T18">
            <v>11805650.999999998</v>
          </cell>
        </row>
        <row r="19">
          <cell r="T19">
            <v>8843562</v>
          </cell>
        </row>
        <row r="20">
          <cell r="T20">
            <v>104339898</v>
          </cell>
        </row>
        <row r="29">
          <cell r="T29">
            <v>86809437</v>
          </cell>
        </row>
        <row r="37">
          <cell r="T37">
            <v>70663671</v>
          </cell>
        </row>
        <row r="44">
          <cell r="T44">
            <v>42455205</v>
          </cell>
        </row>
        <row r="48">
          <cell r="T48">
            <v>55014453</v>
          </cell>
        </row>
      </sheetData>
      <sheetData sheetId="1">
        <row r="6">
          <cell r="J6">
            <v>437326550</v>
          </cell>
        </row>
      </sheetData>
      <sheetData sheetId="2">
        <row r="161">
          <cell r="E161">
            <v>198900000</v>
          </cell>
        </row>
      </sheetData>
      <sheetData sheetId="3">
        <row r="30">
          <cell r="E30">
            <v>66500000</v>
          </cell>
        </row>
      </sheetData>
      <sheetData sheetId="4">
        <row r="97">
          <cell r="E97">
            <v>63180000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ảng ủy xã Thanh Sơn"/>
      <sheetName val="Sheet3"/>
    </sheetNames>
    <sheetDataSet>
      <sheetData sheetId="0">
        <row r="7">
          <cell r="U7">
            <v>56344625.999999985</v>
          </cell>
        </row>
        <row r="10">
          <cell r="U10">
            <v>65348361</v>
          </cell>
        </row>
        <row r="17">
          <cell r="U17">
            <v>83408832</v>
          </cell>
        </row>
        <row r="23">
          <cell r="U23">
            <v>73145592</v>
          </cell>
        </row>
        <row r="29">
          <cell r="U29">
            <v>110027502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ông chuyên trách Đảng"/>
      <sheetName val="Đảng ủy xã Thanh Sơn"/>
      <sheetName val="Sheet3"/>
    </sheetNames>
    <sheetDataSet>
      <sheetData sheetId="0">
        <row r="160">
          <cell r="L160">
            <v>451058400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zoomScale="85" zoomScaleNormal="85" workbookViewId="0">
      <pane xSplit="2" ySplit="7" topLeftCell="C32" activePane="bottomRight" state="frozen"/>
      <selection pane="topRight" activeCell="C1" sqref="C1"/>
      <selection pane="bottomLeft" activeCell="A8" sqref="A8"/>
      <selection pane="bottomRight" activeCell="B44" sqref="B44"/>
    </sheetView>
  </sheetViews>
  <sheetFormatPr defaultRowHeight="18.75" x14ac:dyDescent="0.3"/>
  <cols>
    <col min="1" max="1" width="6.5546875" style="2" customWidth="1"/>
    <col min="2" max="2" width="48" style="8" customWidth="1"/>
    <col min="3" max="3" width="6.109375" style="8" customWidth="1"/>
    <col min="4" max="6" width="13" style="27" customWidth="1"/>
    <col min="7" max="9" width="14.44140625" style="2" customWidth="1"/>
    <col min="10" max="10" width="13.88671875" style="1" customWidth="1"/>
    <col min="11" max="11" width="14.88671875" style="1" customWidth="1"/>
    <col min="12" max="12" width="14.88671875" style="29" bestFit="1" customWidth="1"/>
    <col min="13" max="14" width="13.21875" style="1" bestFit="1" customWidth="1"/>
    <col min="15" max="15" width="10.5546875" style="1" bestFit="1" customWidth="1"/>
    <col min="16" max="16" width="12.6640625" style="1" customWidth="1"/>
    <col min="17" max="16384" width="8.88671875" style="1"/>
  </cols>
  <sheetData>
    <row r="1" spans="1:12" x14ac:dyDescent="0.3">
      <c r="A1" s="3"/>
    </row>
    <row r="2" spans="1:12" ht="34.5" customHeight="1" x14ac:dyDescent="0.3">
      <c r="A2" s="187" t="s">
        <v>78</v>
      </c>
      <c r="B2" s="188"/>
      <c r="C2" s="188"/>
      <c r="D2" s="188"/>
      <c r="E2" s="188"/>
      <c r="F2" s="188"/>
      <c r="G2" s="188"/>
      <c r="H2" s="77"/>
      <c r="I2" s="77"/>
    </row>
    <row r="3" spans="1:12" ht="26.25" customHeight="1" x14ac:dyDescent="0.3">
      <c r="A3" s="189" t="s">
        <v>41</v>
      </c>
      <c r="B3" s="189"/>
      <c r="C3" s="189"/>
      <c r="D3" s="189"/>
      <c r="E3" s="189"/>
      <c r="F3" s="189"/>
      <c r="G3" s="189"/>
      <c r="H3" s="78"/>
      <c r="I3" s="78"/>
    </row>
    <row r="4" spans="1:12" x14ac:dyDescent="0.3">
      <c r="G4" s="5" t="s">
        <v>2</v>
      </c>
      <c r="H4" s="5"/>
      <c r="I4" s="5"/>
    </row>
    <row r="5" spans="1:12" s="10" customFormat="1" x14ac:dyDescent="0.3">
      <c r="A5" s="191" t="s">
        <v>0</v>
      </c>
      <c r="B5" s="193" t="s">
        <v>7</v>
      </c>
      <c r="C5" s="197" t="s">
        <v>42</v>
      </c>
      <c r="D5" s="195" t="s">
        <v>40</v>
      </c>
      <c r="E5" s="190" t="s">
        <v>39</v>
      </c>
      <c r="F5" s="190"/>
      <c r="G5" s="191" t="s">
        <v>1</v>
      </c>
      <c r="H5" s="11"/>
      <c r="I5" s="11"/>
      <c r="L5" s="30"/>
    </row>
    <row r="6" spans="1:12" s="4" customFormat="1" ht="45" customHeight="1" x14ac:dyDescent="0.3">
      <c r="A6" s="192"/>
      <c r="B6" s="194"/>
      <c r="C6" s="198"/>
      <c r="D6" s="196"/>
      <c r="E6" s="15" t="s">
        <v>4</v>
      </c>
      <c r="F6" s="15" t="s">
        <v>5</v>
      </c>
      <c r="G6" s="192"/>
      <c r="H6" s="11"/>
      <c r="I6" s="11"/>
      <c r="L6" s="31"/>
    </row>
    <row r="7" spans="1:12" s="11" customFormat="1" ht="24" customHeight="1" x14ac:dyDescent="0.3">
      <c r="A7" s="14">
        <v>1</v>
      </c>
      <c r="B7" s="6">
        <v>2</v>
      </c>
      <c r="C7" s="6"/>
      <c r="D7" s="15" t="s">
        <v>6</v>
      </c>
      <c r="E7" s="15">
        <v>4</v>
      </c>
      <c r="F7" s="15">
        <v>5</v>
      </c>
      <c r="G7" s="14">
        <v>6</v>
      </c>
      <c r="L7" s="32"/>
    </row>
    <row r="8" spans="1:12" s="11" customFormat="1" ht="29.25" customHeight="1" x14ac:dyDescent="0.3">
      <c r="A8" s="109"/>
      <c r="B8" s="110" t="s">
        <v>97</v>
      </c>
      <c r="C8" s="110"/>
      <c r="D8" s="111">
        <f>D9+D13+D21+D23+D65</f>
        <v>19142398000</v>
      </c>
      <c r="E8" s="111">
        <f>E9+E13+E21+E23+E65</f>
        <v>9536002000</v>
      </c>
      <c r="F8" s="111">
        <f>F9+F13+F21+F23+F65</f>
        <v>9606396000</v>
      </c>
      <c r="G8" s="109"/>
      <c r="H8" s="121"/>
      <c r="I8" s="121"/>
      <c r="J8" s="39">
        <v>18660000000</v>
      </c>
      <c r="K8" s="39">
        <f>J8-D8</f>
        <v>-482398000</v>
      </c>
      <c r="L8" s="32"/>
    </row>
    <row r="9" spans="1:12" s="13" customFormat="1" ht="29.25" customHeight="1" x14ac:dyDescent="0.3">
      <c r="A9" s="95" t="s">
        <v>15</v>
      </c>
      <c r="B9" s="92" t="s">
        <v>80</v>
      </c>
      <c r="C9" s="93"/>
      <c r="D9" s="94">
        <f>SUM(D10:D12)</f>
        <v>187020000</v>
      </c>
      <c r="E9" s="94">
        <f>SUM(E10:E12)</f>
        <v>93510000</v>
      </c>
      <c r="F9" s="94">
        <f t="shared" ref="F9" si="0">SUM(F10:F12)</f>
        <v>93510000</v>
      </c>
      <c r="G9" s="93"/>
      <c r="H9" s="122"/>
      <c r="I9" s="122"/>
      <c r="L9" s="34"/>
    </row>
    <row r="10" spans="1:12" s="12" customFormat="1" ht="25.5" customHeight="1" x14ac:dyDescent="0.3">
      <c r="A10" s="44">
        <v>1</v>
      </c>
      <c r="B10" s="45" t="s">
        <v>96</v>
      </c>
      <c r="C10" s="46"/>
      <c r="D10" s="47">
        <f>E10+F10</f>
        <v>7020000</v>
      </c>
      <c r="E10" s="47">
        <v>3510000</v>
      </c>
      <c r="F10" s="47">
        <f>+E10</f>
        <v>3510000</v>
      </c>
      <c r="G10" s="44"/>
      <c r="H10" s="18">
        <v>1</v>
      </c>
      <c r="I10" s="134">
        <f>D10</f>
        <v>7020000</v>
      </c>
      <c r="L10" s="33"/>
    </row>
    <row r="11" spans="1:12" s="12" customFormat="1" ht="36" customHeight="1" x14ac:dyDescent="0.3">
      <c r="A11" s="7">
        <v>2</v>
      </c>
      <c r="B11" s="48" t="s">
        <v>95</v>
      </c>
      <c r="C11" s="9"/>
      <c r="D11" s="16">
        <f>E11+F11</f>
        <v>110000000</v>
      </c>
      <c r="E11" s="16">
        <v>55000000</v>
      </c>
      <c r="F11" s="16">
        <v>55000000</v>
      </c>
      <c r="G11" s="7"/>
      <c r="H11" s="18">
        <v>2</v>
      </c>
      <c r="I11" s="18"/>
      <c r="L11" s="33"/>
    </row>
    <row r="12" spans="1:12" s="12" customFormat="1" ht="39" customHeight="1" x14ac:dyDescent="0.3">
      <c r="A12" s="53">
        <v>3</v>
      </c>
      <c r="B12" s="62" t="s">
        <v>73</v>
      </c>
      <c r="C12" s="54"/>
      <c r="D12" s="55">
        <f t="shared" ref="D12" si="1">E12+F12</f>
        <v>70000000</v>
      </c>
      <c r="E12" s="55">
        <v>35000000</v>
      </c>
      <c r="F12" s="55">
        <v>35000000</v>
      </c>
      <c r="G12" s="53"/>
      <c r="H12" s="18">
        <v>1</v>
      </c>
      <c r="I12" s="134">
        <f>D12</f>
        <v>70000000</v>
      </c>
      <c r="L12" s="33"/>
    </row>
    <row r="13" spans="1:12" s="13" customFormat="1" ht="25.5" customHeight="1" x14ac:dyDescent="0.3">
      <c r="A13" s="36" t="s">
        <v>16</v>
      </c>
      <c r="B13" s="96" t="s">
        <v>81</v>
      </c>
      <c r="C13" s="37"/>
      <c r="D13" s="38">
        <f>SUM(D14:D20)</f>
        <v>2581578000</v>
      </c>
      <c r="E13" s="38">
        <f t="shared" ref="E13:F13" si="2">SUM(E14:E20)</f>
        <v>1334789000</v>
      </c>
      <c r="F13" s="38">
        <f t="shared" si="2"/>
        <v>1246789000</v>
      </c>
      <c r="G13" s="36"/>
      <c r="H13" s="123"/>
      <c r="I13" s="123"/>
      <c r="L13" s="34"/>
    </row>
    <row r="14" spans="1:12" s="12" customFormat="1" ht="25.5" customHeight="1" x14ac:dyDescent="0.3">
      <c r="A14" s="44">
        <v>1</v>
      </c>
      <c r="B14" s="45" t="s">
        <v>70</v>
      </c>
      <c r="C14" s="46"/>
      <c r="D14" s="47">
        <f>E14+F14</f>
        <v>2142000000</v>
      </c>
      <c r="E14" s="47">
        <v>1071000000</v>
      </c>
      <c r="F14" s="47">
        <f>E14</f>
        <v>1071000000</v>
      </c>
      <c r="G14" s="44"/>
      <c r="H14" s="18">
        <v>1</v>
      </c>
      <c r="I14" s="134">
        <f t="shared" ref="I14:I20" si="3">D14</f>
        <v>2142000000</v>
      </c>
      <c r="L14" s="33"/>
    </row>
    <row r="15" spans="1:12" s="91" customFormat="1" ht="41.25" customHeight="1" x14ac:dyDescent="0.3">
      <c r="A15" s="57">
        <v>2</v>
      </c>
      <c r="B15" s="58" t="s">
        <v>98</v>
      </c>
      <c r="C15" s="59"/>
      <c r="D15" s="60">
        <f t="shared" ref="D15:D22" si="4">E15+F15</f>
        <v>35200000</v>
      </c>
      <c r="E15" s="60">
        <v>17600000</v>
      </c>
      <c r="F15" s="60">
        <f>E15</f>
        <v>17600000</v>
      </c>
      <c r="G15" s="57"/>
      <c r="H15" s="124">
        <v>1</v>
      </c>
      <c r="I15" s="134">
        <f t="shared" si="3"/>
        <v>35200000</v>
      </c>
      <c r="L15" s="90"/>
    </row>
    <row r="16" spans="1:12" s="12" customFormat="1" ht="51" customHeight="1" x14ac:dyDescent="0.3">
      <c r="A16" s="57">
        <v>3</v>
      </c>
      <c r="B16" s="48" t="s">
        <v>60</v>
      </c>
      <c r="C16" s="9"/>
      <c r="D16" s="16">
        <f t="shared" si="4"/>
        <v>37900000</v>
      </c>
      <c r="E16" s="16">
        <v>18950000</v>
      </c>
      <c r="F16" s="16">
        <v>18950000</v>
      </c>
      <c r="G16" s="7"/>
      <c r="H16" s="18">
        <v>1</v>
      </c>
      <c r="I16" s="134">
        <f t="shared" si="3"/>
        <v>37900000</v>
      </c>
      <c r="L16" s="33"/>
    </row>
    <row r="17" spans="1:12" s="12" customFormat="1" ht="36.75" customHeight="1" x14ac:dyDescent="0.3">
      <c r="A17" s="57">
        <v>4</v>
      </c>
      <c r="B17" s="48" t="s">
        <v>61</v>
      </c>
      <c r="C17" s="9"/>
      <c r="D17" s="16">
        <f t="shared" si="4"/>
        <v>83160000</v>
      </c>
      <c r="E17" s="16">
        <v>41580000</v>
      </c>
      <c r="F17" s="16">
        <v>41580000</v>
      </c>
      <c r="G17" s="7"/>
      <c r="H17" s="18">
        <v>1</v>
      </c>
      <c r="I17" s="134">
        <f t="shared" si="3"/>
        <v>83160000</v>
      </c>
      <c r="L17" s="33"/>
    </row>
    <row r="18" spans="1:12" s="12" customFormat="1" ht="33.75" customHeight="1" x14ac:dyDescent="0.3">
      <c r="A18" s="57">
        <v>5</v>
      </c>
      <c r="B18" s="48" t="s">
        <v>62</v>
      </c>
      <c r="C18" s="9"/>
      <c r="D18" s="16">
        <f t="shared" si="4"/>
        <v>1080000</v>
      </c>
      <c r="E18" s="16">
        <v>540000</v>
      </c>
      <c r="F18" s="16">
        <v>540000</v>
      </c>
      <c r="G18" s="7"/>
      <c r="H18" s="18">
        <v>1</v>
      </c>
      <c r="I18" s="134">
        <f t="shared" si="3"/>
        <v>1080000</v>
      </c>
      <c r="L18" s="33"/>
    </row>
    <row r="19" spans="1:12" s="12" customFormat="1" ht="41.25" customHeight="1" x14ac:dyDescent="0.3">
      <c r="A19" s="57">
        <v>6</v>
      </c>
      <c r="B19" s="48" t="s">
        <v>63</v>
      </c>
      <c r="C19" s="9"/>
      <c r="D19" s="16">
        <f t="shared" si="4"/>
        <v>194238000</v>
      </c>
      <c r="E19" s="16">
        <v>97119000</v>
      </c>
      <c r="F19" s="16">
        <v>97119000</v>
      </c>
      <c r="G19" s="7"/>
      <c r="H19" s="18">
        <v>1</v>
      </c>
      <c r="I19" s="134">
        <f t="shared" si="3"/>
        <v>194238000</v>
      </c>
      <c r="L19" s="33"/>
    </row>
    <row r="20" spans="1:12" s="12" customFormat="1" ht="39" customHeight="1" x14ac:dyDescent="0.3">
      <c r="A20" s="61">
        <v>7</v>
      </c>
      <c r="B20" s="62" t="s">
        <v>59</v>
      </c>
      <c r="C20" s="54"/>
      <c r="D20" s="55">
        <f t="shared" ref="D20" si="5">E20+F20</f>
        <v>88000000</v>
      </c>
      <c r="E20" s="55">
        <v>88000000</v>
      </c>
      <c r="F20" s="55"/>
      <c r="G20" s="53"/>
      <c r="H20" s="18">
        <v>1</v>
      </c>
      <c r="I20" s="134">
        <f t="shared" si="3"/>
        <v>88000000</v>
      </c>
      <c r="L20" s="33"/>
    </row>
    <row r="21" spans="1:12" s="13" customFormat="1" ht="33.75" customHeight="1" x14ac:dyDescent="0.3">
      <c r="A21" s="36" t="s">
        <v>19</v>
      </c>
      <c r="B21" s="96" t="s">
        <v>82</v>
      </c>
      <c r="C21" s="37"/>
      <c r="D21" s="38">
        <f>D22</f>
        <v>106000000</v>
      </c>
      <c r="E21" s="38">
        <f t="shared" ref="E21:F21" si="6">E22</f>
        <v>53000000</v>
      </c>
      <c r="F21" s="38">
        <f t="shared" si="6"/>
        <v>53000000</v>
      </c>
      <c r="G21" s="36"/>
      <c r="H21" s="123"/>
      <c r="I21" s="123"/>
      <c r="L21" s="34"/>
    </row>
    <row r="22" spans="1:12" s="12" customFormat="1" ht="54.75" customHeight="1" x14ac:dyDescent="0.3">
      <c r="A22" s="24">
        <v>1</v>
      </c>
      <c r="B22" s="79" t="s">
        <v>64</v>
      </c>
      <c r="C22" s="80"/>
      <c r="D22" s="26">
        <f t="shared" si="4"/>
        <v>106000000</v>
      </c>
      <c r="E22" s="81">
        <v>53000000</v>
      </c>
      <c r="F22" s="81">
        <f>+E22</f>
        <v>53000000</v>
      </c>
      <c r="G22" s="82"/>
      <c r="H22" s="18">
        <v>1</v>
      </c>
      <c r="I22" s="134">
        <f>D22</f>
        <v>106000000</v>
      </c>
      <c r="L22" s="33"/>
    </row>
    <row r="23" spans="1:12" s="11" customFormat="1" ht="25.5" customHeight="1" x14ac:dyDescent="0.3">
      <c r="A23" s="95" t="s">
        <v>83</v>
      </c>
      <c r="B23" s="135" t="s">
        <v>79</v>
      </c>
      <c r="C23" s="98"/>
      <c r="D23" s="99">
        <f>D24+D31</f>
        <v>6397053596</v>
      </c>
      <c r="E23" s="99">
        <f>E24+E31</f>
        <v>3124829798</v>
      </c>
      <c r="F23" s="99">
        <f>F24+F31</f>
        <v>3272223798</v>
      </c>
      <c r="G23" s="95"/>
      <c r="H23" s="123"/>
      <c r="I23" s="123"/>
      <c r="J23" s="39"/>
      <c r="K23" s="39"/>
      <c r="L23" s="32"/>
    </row>
    <row r="24" spans="1:12" s="11" customFormat="1" ht="25.5" customHeight="1" x14ac:dyDescent="0.3">
      <c r="A24" s="105" t="s">
        <v>8</v>
      </c>
      <c r="B24" s="106" t="s">
        <v>84</v>
      </c>
      <c r="C24" s="107"/>
      <c r="D24" s="108">
        <f>SUM(D25:D30)</f>
        <v>1852434000</v>
      </c>
      <c r="E24" s="108">
        <f>SUM(E25:E30)</f>
        <v>852520000</v>
      </c>
      <c r="F24" s="108">
        <f>SUM(F25:F30)</f>
        <v>999914000</v>
      </c>
      <c r="G24" s="105"/>
      <c r="H24" s="125"/>
      <c r="I24" s="125"/>
      <c r="J24" s="39"/>
      <c r="K24" s="39"/>
      <c r="L24" s="32"/>
    </row>
    <row r="25" spans="1:12" s="12" customFormat="1" ht="33" customHeight="1" x14ac:dyDescent="0.3">
      <c r="A25" s="44">
        <v>1</v>
      </c>
      <c r="B25" s="45" t="s">
        <v>103</v>
      </c>
      <c r="C25" s="46"/>
      <c r="D25" s="47">
        <f>E25+F25</f>
        <v>300000000</v>
      </c>
      <c r="E25" s="47">
        <v>150000000</v>
      </c>
      <c r="F25" s="47">
        <f>E25</f>
        <v>150000000</v>
      </c>
      <c r="G25" s="44"/>
      <c r="H25" s="18">
        <v>1</v>
      </c>
      <c r="I25" s="134">
        <f>D25</f>
        <v>300000000</v>
      </c>
      <c r="L25" s="33"/>
    </row>
    <row r="26" spans="1:12" s="12" customFormat="1" ht="33" customHeight="1" x14ac:dyDescent="0.3">
      <c r="A26" s="7">
        <v>2</v>
      </c>
      <c r="B26" s="48" t="s">
        <v>104</v>
      </c>
      <c r="C26" s="9"/>
      <c r="D26" s="16">
        <f>E26+F26</f>
        <v>300000000</v>
      </c>
      <c r="E26" s="16">
        <v>150000000</v>
      </c>
      <c r="F26" s="16">
        <f>E26</f>
        <v>150000000</v>
      </c>
      <c r="G26" s="7"/>
      <c r="H26" s="18">
        <v>2</v>
      </c>
      <c r="I26" s="18"/>
      <c r="L26" s="33"/>
    </row>
    <row r="27" spans="1:12" s="91" customFormat="1" ht="47.25" customHeight="1" x14ac:dyDescent="0.3">
      <c r="A27" s="57">
        <v>2</v>
      </c>
      <c r="B27" s="58" t="s">
        <v>72</v>
      </c>
      <c r="C27" s="59"/>
      <c r="D27" s="60">
        <f>E27+F27</f>
        <v>200000000</v>
      </c>
      <c r="E27" s="60">
        <v>200000000</v>
      </c>
      <c r="F27" s="60"/>
      <c r="G27" s="59" t="s">
        <v>74</v>
      </c>
      <c r="H27" s="126">
        <v>1</v>
      </c>
      <c r="I27" s="134">
        <f>D27</f>
        <v>200000000</v>
      </c>
      <c r="L27" s="90"/>
    </row>
    <row r="28" spans="1:12" s="75" customFormat="1" ht="36.75" customHeight="1" x14ac:dyDescent="0.3">
      <c r="A28" s="7">
        <v>2</v>
      </c>
      <c r="B28" s="48" t="s">
        <v>75</v>
      </c>
      <c r="C28" s="9"/>
      <c r="D28" s="16">
        <v>667394000</v>
      </c>
      <c r="E28" s="16">
        <v>150000000</v>
      </c>
      <c r="F28" s="16">
        <f>D28-E28</f>
        <v>517394000</v>
      </c>
      <c r="G28" s="9" t="s">
        <v>76</v>
      </c>
      <c r="H28" s="43"/>
      <c r="I28" s="43"/>
      <c r="L28" s="74"/>
    </row>
    <row r="29" spans="1:12" s="12" customFormat="1" ht="41.25" customHeight="1" x14ac:dyDescent="0.3">
      <c r="A29" s="7">
        <v>3</v>
      </c>
      <c r="B29" s="48" t="s">
        <v>85</v>
      </c>
      <c r="C29" s="9"/>
      <c r="D29" s="16">
        <f>E29+F29</f>
        <v>365040000</v>
      </c>
      <c r="E29" s="16">
        <v>182520000</v>
      </c>
      <c r="F29" s="16">
        <f>E29</f>
        <v>182520000</v>
      </c>
      <c r="G29" s="7"/>
      <c r="H29" s="18">
        <v>1</v>
      </c>
      <c r="I29" s="134">
        <f t="shared" ref="I29:I30" si="7">D29</f>
        <v>365040000</v>
      </c>
      <c r="L29" s="33"/>
    </row>
    <row r="30" spans="1:12" s="75" customFormat="1" ht="25.5" customHeight="1" x14ac:dyDescent="0.3">
      <c r="A30" s="53">
        <v>4</v>
      </c>
      <c r="B30" s="62" t="s">
        <v>58</v>
      </c>
      <c r="C30" s="54"/>
      <c r="D30" s="55">
        <f>E30+F30</f>
        <v>20000000</v>
      </c>
      <c r="E30" s="55">
        <v>20000000</v>
      </c>
      <c r="F30" s="55"/>
      <c r="G30" s="53"/>
      <c r="H30" s="18">
        <v>1</v>
      </c>
      <c r="I30" s="134">
        <f t="shared" si="7"/>
        <v>20000000</v>
      </c>
      <c r="L30" s="74"/>
    </row>
    <row r="31" spans="1:12" s="11" customFormat="1" ht="25.5" customHeight="1" x14ac:dyDescent="0.3">
      <c r="A31" s="21" t="s">
        <v>10</v>
      </c>
      <c r="B31" s="22" t="s">
        <v>86</v>
      </c>
      <c r="C31" s="22"/>
      <c r="D31" s="23">
        <f>D32+D45+D48+D51+D54+D62</f>
        <v>4544619596</v>
      </c>
      <c r="E31" s="23">
        <f t="shared" ref="E31:F31" si="8">E32+E45+E48+E51+E54+E62</f>
        <v>2272309798</v>
      </c>
      <c r="F31" s="23">
        <f t="shared" si="8"/>
        <v>2272309798</v>
      </c>
      <c r="G31" s="21"/>
      <c r="H31" s="125"/>
      <c r="I31" s="125"/>
      <c r="L31" s="32"/>
    </row>
    <row r="32" spans="1:12" s="11" customFormat="1" ht="25.5" customHeight="1" x14ac:dyDescent="0.3">
      <c r="A32" s="112" t="s">
        <v>87</v>
      </c>
      <c r="B32" s="113" t="s">
        <v>9</v>
      </c>
      <c r="C32" s="113"/>
      <c r="D32" s="114">
        <f>D33+D44</f>
        <v>2141620958</v>
      </c>
      <c r="E32" s="114">
        <f>E33+E44</f>
        <v>1070810479</v>
      </c>
      <c r="F32" s="114">
        <f>F33+F44</f>
        <v>1070810479</v>
      </c>
      <c r="G32" s="112"/>
      <c r="H32" s="127"/>
      <c r="I32" s="127"/>
      <c r="L32" s="32"/>
    </row>
    <row r="33" spans="1:16" s="13" customFormat="1" ht="34.5" customHeight="1" x14ac:dyDescent="0.3">
      <c r="A33" s="67">
        <v>1</v>
      </c>
      <c r="B33" s="68" t="s">
        <v>3</v>
      </c>
      <c r="C33" s="69"/>
      <c r="D33" s="56">
        <f>SUM(D34:D43)</f>
        <v>2032144958</v>
      </c>
      <c r="E33" s="56">
        <f>SUM(E34:E43)</f>
        <v>1016072479</v>
      </c>
      <c r="F33" s="56">
        <f>SUM(F34:F43)</f>
        <v>1016072479</v>
      </c>
      <c r="G33" s="67"/>
      <c r="H33" s="128"/>
      <c r="I33" s="128"/>
      <c r="L33" s="34"/>
    </row>
    <row r="34" spans="1:16" s="12" customFormat="1" ht="25.5" customHeight="1" x14ac:dyDescent="0.3">
      <c r="A34" s="63" t="s">
        <v>21</v>
      </c>
      <c r="B34" s="64" t="s">
        <v>43</v>
      </c>
      <c r="C34" s="65">
        <v>4</v>
      </c>
      <c r="D34" s="66">
        <f>E34+F34</f>
        <v>136003382</v>
      </c>
      <c r="E34" s="66">
        <f>'[1]CB, CC xã Thanh Sơn'!$T$7+174685</f>
        <v>68001691</v>
      </c>
      <c r="F34" s="66">
        <f>E34</f>
        <v>68001691</v>
      </c>
      <c r="G34" s="63"/>
      <c r="H34" s="124">
        <v>1</v>
      </c>
      <c r="I34" s="134">
        <f t="shared" ref="I34:I43" si="9">D34</f>
        <v>136003382</v>
      </c>
      <c r="K34" s="12">
        <v>41000000</v>
      </c>
      <c r="L34" s="33">
        <f>K34*11%</f>
        <v>4510000</v>
      </c>
      <c r="M34" s="115">
        <f>+K34-L34</f>
        <v>36490000</v>
      </c>
      <c r="N34" s="12">
        <f>+M34*10%</f>
        <v>3649000</v>
      </c>
      <c r="O34" s="115">
        <f>M34-N34</f>
        <v>32841000</v>
      </c>
      <c r="P34" s="115">
        <f>O34/12</f>
        <v>2736750</v>
      </c>
    </row>
    <row r="35" spans="1:16" s="12" customFormat="1" ht="25.5" customHeight="1" x14ac:dyDescent="0.3">
      <c r="A35" s="57" t="s">
        <v>22</v>
      </c>
      <c r="B35" s="58" t="s">
        <v>46</v>
      </c>
      <c r="C35" s="59">
        <v>4</v>
      </c>
      <c r="D35" s="60">
        <f t="shared" ref="D35:D44" si="10">E35+F35</f>
        <v>110028906</v>
      </c>
      <c r="E35" s="60">
        <f>'[1]CB, CC xã Thanh Sơn'!$T$48</f>
        <v>55014453</v>
      </c>
      <c r="F35" s="60">
        <f>E35</f>
        <v>55014453</v>
      </c>
      <c r="G35" s="57"/>
      <c r="H35" s="124">
        <v>1</v>
      </c>
      <c r="I35" s="134">
        <f t="shared" si="9"/>
        <v>110028906</v>
      </c>
      <c r="L35" s="33"/>
      <c r="P35" s="115">
        <f>P34*14</f>
        <v>38314500</v>
      </c>
    </row>
    <row r="36" spans="1:16" s="12" customFormat="1" ht="25.5" customHeight="1" x14ac:dyDescent="0.3">
      <c r="A36" s="57" t="s">
        <v>26</v>
      </c>
      <c r="B36" s="58" t="s">
        <v>44</v>
      </c>
      <c r="C36" s="59">
        <v>6</v>
      </c>
      <c r="D36" s="60">
        <f t="shared" si="10"/>
        <v>140202036</v>
      </c>
      <c r="E36" s="60">
        <f>SUM('[1]CB, CC xã Thanh Sơn'!$T$13:$T$18)</f>
        <v>70101018</v>
      </c>
      <c r="F36" s="60">
        <f t="shared" ref="F36:F37" si="11">E36</f>
        <v>70101018</v>
      </c>
      <c r="G36" s="57"/>
      <c r="H36" s="124">
        <v>1</v>
      </c>
      <c r="I36" s="134">
        <f t="shared" si="9"/>
        <v>140202036</v>
      </c>
      <c r="L36" s="33"/>
    </row>
    <row r="37" spans="1:16" s="12" customFormat="1" ht="25.5" customHeight="1" x14ac:dyDescent="0.3">
      <c r="A37" s="57" t="s">
        <v>27</v>
      </c>
      <c r="B37" s="58" t="s">
        <v>45</v>
      </c>
      <c r="C37" s="59">
        <v>1</v>
      </c>
      <c r="D37" s="60">
        <f t="shared" si="10"/>
        <v>17687124</v>
      </c>
      <c r="E37" s="60">
        <f>'[1]CB, CC xã Thanh Sơn'!$T$19</f>
        <v>8843562</v>
      </c>
      <c r="F37" s="60">
        <f t="shared" si="11"/>
        <v>8843562</v>
      </c>
      <c r="G37" s="57"/>
      <c r="H37" s="124">
        <v>1</v>
      </c>
      <c r="I37" s="134">
        <f t="shared" si="9"/>
        <v>17687124</v>
      </c>
      <c r="L37" s="33"/>
    </row>
    <row r="38" spans="1:16" s="41" customFormat="1" ht="25.5" customHeight="1" x14ac:dyDescent="0.3">
      <c r="A38" s="57" t="s">
        <v>49</v>
      </c>
      <c r="B38" s="50" t="s">
        <v>77</v>
      </c>
      <c r="C38" s="51">
        <v>1</v>
      </c>
      <c r="D38" s="60">
        <f t="shared" si="10"/>
        <v>11500000</v>
      </c>
      <c r="E38" s="52">
        <v>5750000</v>
      </c>
      <c r="F38" s="52">
        <f t="shared" ref="F38:F43" si="12">E38</f>
        <v>5750000</v>
      </c>
      <c r="G38" s="49" t="s">
        <v>57</v>
      </c>
      <c r="H38" s="129">
        <v>1</v>
      </c>
      <c r="I38" s="134">
        <f t="shared" si="9"/>
        <v>11500000</v>
      </c>
      <c r="L38" s="40"/>
    </row>
    <row r="39" spans="1:16" s="12" customFormat="1" ht="25.5" customHeight="1" x14ac:dyDescent="0.3">
      <c r="A39" s="57" t="s">
        <v>50</v>
      </c>
      <c r="B39" s="58" t="s">
        <v>47</v>
      </c>
      <c r="C39" s="59">
        <v>3</v>
      </c>
      <c r="D39" s="60">
        <f t="shared" si="10"/>
        <v>84910410</v>
      </c>
      <c r="E39" s="60">
        <f>'[1]CB, CC xã Thanh Sơn'!$T$44</f>
        <v>42455205</v>
      </c>
      <c r="F39" s="60">
        <f t="shared" si="12"/>
        <v>42455205</v>
      </c>
      <c r="G39" s="57"/>
      <c r="H39" s="124">
        <v>1</v>
      </c>
      <c r="I39" s="134">
        <f t="shared" si="9"/>
        <v>84910410</v>
      </c>
      <c r="L39" s="33"/>
    </row>
    <row r="40" spans="1:16" s="13" customFormat="1" ht="25.5" customHeight="1" x14ac:dyDescent="0.3">
      <c r="A40" s="57" t="s">
        <v>53</v>
      </c>
      <c r="B40" s="48" t="s">
        <v>48</v>
      </c>
      <c r="C40" s="9"/>
      <c r="D40" s="16">
        <f t="shared" si="10"/>
        <v>874653100</v>
      </c>
      <c r="E40" s="16">
        <f>'[1]không chuyên trách'!$J$6</f>
        <v>437326550</v>
      </c>
      <c r="F40" s="16">
        <f t="shared" si="12"/>
        <v>437326550</v>
      </c>
      <c r="G40" s="7"/>
      <c r="H40" s="18">
        <v>1</v>
      </c>
      <c r="I40" s="134">
        <f t="shared" si="9"/>
        <v>874653100</v>
      </c>
      <c r="L40" s="34"/>
    </row>
    <row r="41" spans="1:16" s="13" customFormat="1" ht="32.25" customHeight="1" x14ac:dyDescent="0.3">
      <c r="A41" s="57" t="s">
        <v>54</v>
      </c>
      <c r="B41" s="48" t="s">
        <v>51</v>
      </c>
      <c r="C41" s="9"/>
      <c r="D41" s="16">
        <f t="shared" si="10"/>
        <v>397800000</v>
      </c>
      <c r="E41" s="16">
        <f>[1]ANCS!$E$161</f>
        <v>198900000</v>
      </c>
      <c r="F41" s="16">
        <f t="shared" si="12"/>
        <v>198900000</v>
      </c>
      <c r="G41" s="7"/>
      <c r="H41" s="18">
        <v>1</v>
      </c>
      <c r="I41" s="134">
        <f t="shared" si="9"/>
        <v>397800000</v>
      </c>
      <c r="L41" s="34"/>
    </row>
    <row r="42" spans="1:16" s="13" customFormat="1" ht="25.5" customHeight="1" x14ac:dyDescent="0.3">
      <c r="A42" s="57" t="s">
        <v>55</v>
      </c>
      <c r="B42" s="48" t="s">
        <v>52</v>
      </c>
      <c r="C42" s="9"/>
      <c r="D42" s="16">
        <f t="shared" si="10"/>
        <v>133000000</v>
      </c>
      <c r="E42" s="16">
        <f>'[1]Hữu xã'!$E$30</f>
        <v>66500000</v>
      </c>
      <c r="F42" s="16">
        <f t="shared" si="12"/>
        <v>66500000</v>
      </c>
      <c r="G42" s="7"/>
      <c r="H42" s="18">
        <v>1</v>
      </c>
      <c r="I42" s="134">
        <f t="shared" si="9"/>
        <v>133000000</v>
      </c>
      <c r="J42" s="143">
        <f>D44</f>
        <v>109476000</v>
      </c>
      <c r="L42" s="34"/>
    </row>
    <row r="43" spans="1:16" s="13" customFormat="1" ht="25.5" customHeight="1" x14ac:dyDescent="0.3">
      <c r="A43" s="61" t="s">
        <v>56</v>
      </c>
      <c r="B43" s="62" t="s">
        <v>69</v>
      </c>
      <c r="C43" s="54"/>
      <c r="D43" s="55">
        <f t="shared" si="10"/>
        <v>126360000</v>
      </c>
      <c r="E43" s="55">
        <f>[1]HĐND!$E$97</f>
        <v>63180000</v>
      </c>
      <c r="F43" s="55">
        <f t="shared" si="12"/>
        <v>63180000</v>
      </c>
      <c r="G43" s="53"/>
      <c r="H43" s="18">
        <v>1</v>
      </c>
      <c r="I43" s="134">
        <f t="shared" si="9"/>
        <v>126360000</v>
      </c>
      <c r="J43" s="143">
        <f>D47</f>
        <v>36492000</v>
      </c>
      <c r="L43" s="34"/>
    </row>
    <row r="44" spans="1:16" s="13" customFormat="1" ht="39.75" customHeight="1" x14ac:dyDescent="0.3">
      <c r="A44" s="86">
        <v>2</v>
      </c>
      <c r="B44" s="83" t="s">
        <v>102</v>
      </c>
      <c r="C44" s="84">
        <v>18</v>
      </c>
      <c r="D44" s="85">
        <f t="shared" si="10"/>
        <v>109476000</v>
      </c>
      <c r="E44" s="85">
        <f>C44*3041000</f>
        <v>54738000</v>
      </c>
      <c r="F44" s="85">
        <f>+E44</f>
        <v>54738000</v>
      </c>
      <c r="G44" s="86"/>
      <c r="H44" s="11"/>
      <c r="I44" s="11"/>
      <c r="J44" s="143">
        <f>D50</f>
        <v>48656000</v>
      </c>
      <c r="K44" s="13">
        <v>182450000</v>
      </c>
      <c r="L44" s="34">
        <f>+K44/5</f>
        <v>36490000</v>
      </c>
      <c r="M44" s="34">
        <f>+L44/12</f>
        <v>3040833.3333333335</v>
      </c>
      <c r="N44" s="116">
        <f>M44*C44</f>
        <v>54735000</v>
      </c>
    </row>
    <row r="45" spans="1:16" s="13" customFormat="1" ht="31.5" customHeight="1" x14ac:dyDescent="0.3">
      <c r="A45" s="112" t="s">
        <v>88</v>
      </c>
      <c r="B45" s="113" t="s">
        <v>11</v>
      </c>
      <c r="C45" s="113"/>
      <c r="D45" s="114">
        <f>SUM(D46:D47)</f>
        <v>177819342</v>
      </c>
      <c r="E45" s="114">
        <f>SUM(E46:E47)</f>
        <v>88909671</v>
      </c>
      <c r="F45" s="114">
        <f>SUM(F46:F47)</f>
        <v>88909671</v>
      </c>
      <c r="G45" s="112"/>
      <c r="H45" s="127"/>
      <c r="I45" s="127"/>
      <c r="J45" s="143">
        <f>D53</f>
        <v>42574000</v>
      </c>
      <c r="L45" s="34"/>
    </row>
    <row r="46" spans="1:16" s="12" customFormat="1" ht="27" customHeight="1" x14ac:dyDescent="0.3">
      <c r="A46" s="24">
        <v>1</v>
      </c>
      <c r="B46" s="25" t="s">
        <v>3</v>
      </c>
      <c r="C46" s="42">
        <v>6</v>
      </c>
      <c r="D46" s="26">
        <f>E46+F46</f>
        <v>141327342</v>
      </c>
      <c r="E46" s="26">
        <f>'[1]CB, CC xã Thanh Sơn'!$T$37</f>
        <v>70663671</v>
      </c>
      <c r="F46" s="26">
        <f>E46</f>
        <v>70663671</v>
      </c>
      <c r="G46" s="24"/>
      <c r="H46" s="18">
        <v>1</v>
      </c>
      <c r="I46" s="134">
        <f>D46</f>
        <v>141327342</v>
      </c>
      <c r="J46" s="144">
        <f>D61</f>
        <v>109476000</v>
      </c>
      <c r="L46" s="33"/>
    </row>
    <row r="47" spans="1:16" s="12" customFormat="1" ht="42.75" customHeight="1" x14ac:dyDescent="0.3">
      <c r="A47" s="7">
        <v>2</v>
      </c>
      <c r="B47" s="48" t="s">
        <v>102</v>
      </c>
      <c r="C47" s="9">
        <v>6</v>
      </c>
      <c r="D47" s="16">
        <f t="shared" ref="D47" si="13">E47+F47</f>
        <v>36492000</v>
      </c>
      <c r="E47" s="16">
        <f>C47*3041000</f>
        <v>18246000</v>
      </c>
      <c r="F47" s="16">
        <f>+E47</f>
        <v>18246000</v>
      </c>
      <c r="G47" s="7"/>
      <c r="H47" s="18">
        <v>2</v>
      </c>
      <c r="I47" s="18"/>
      <c r="J47" s="144">
        <f>D64</f>
        <v>54738000</v>
      </c>
      <c r="L47" s="33"/>
    </row>
    <row r="48" spans="1:16" s="4" customFormat="1" ht="25.5" customHeight="1" x14ac:dyDescent="0.3">
      <c r="A48" s="112" t="s">
        <v>89</v>
      </c>
      <c r="B48" s="113" t="s">
        <v>13</v>
      </c>
      <c r="C48" s="113"/>
      <c r="D48" s="114">
        <f>SUM(D49:D49)</f>
        <v>208679796</v>
      </c>
      <c r="E48" s="114">
        <f>SUM(E49:E49)</f>
        <v>104339898</v>
      </c>
      <c r="F48" s="114">
        <f>SUM(F49:F49)</f>
        <v>104339898</v>
      </c>
      <c r="G48" s="112"/>
      <c r="H48" s="127"/>
      <c r="I48" s="127"/>
      <c r="L48" s="31"/>
    </row>
    <row r="49" spans="1:12" s="12" customFormat="1" ht="25.5" customHeight="1" x14ac:dyDescent="0.3">
      <c r="A49" s="44">
        <v>1</v>
      </c>
      <c r="B49" s="45" t="s">
        <v>3</v>
      </c>
      <c r="C49" s="46">
        <v>8</v>
      </c>
      <c r="D49" s="47">
        <f>E49+F49</f>
        <v>208679796</v>
      </c>
      <c r="E49" s="47">
        <f>'[1]CB, CC xã Thanh Sơn'!$T$20</f>
        <v>104339898</v>
      </c>
      <c r="F49" s="47">
        <f>E49</f>
        <v>104339898</v>
      </c>
      <c r="G49" s="44"/>
      <c r="H49" s="18">
        <v>1</v>
      </c>
      <c r="I49" s="134">
        <f>D49</f>
        <v>208679796</v>
      </c>
      <c r="L49" s="33"/>
    </row>
    <row r="50" spans="1:12" s="12" customFormat="1" ht="44.25" customHeight="1" x14ac:dyDescent="0.3">
      <c r="A50" s="7">
        <v>2</v>
      </c>
      <c r="B50" s="48" t="s">
        <v>102</v>
      </c>
      <c r="C50" s="9">
        <v>8</v>
      </c>
      <c r="D50" s="16">
        <f t="shared" ref="D50" si="14">E50+F50</f>
        <v>48656000</v>
      </c>
      <c r="E50" s="16">
        <f>C50*3041000</f>
        <v>24328000</v>
      </c>
      <c r="F50" s="16">
        <f>+E50</f>
        <v>24328000</v>
      </c>
      <c r="G50" s="7"/>
      <c r="H50" s="18">
        <v>2</v>
      </c>
      <c r="I50" s="18"/>
      <c r="L50" s="33"/>
    </row>
    <row r="51" spans="1:12" s="10" customFormat="1" ht="25.5" customHeight="1" x14ac:dyDescent="0.3">
      <c r="A51" s="112" t="s">
        <v>90</v>
      </c>
      <c r="B51" s="113" t="s">
        <v>14</v>
      </c>
      <c r="C51" s="113"/>
      <c r="D51" s="114">
        <f>SUM(D52:D52)</f>
        <v>173618874</v>
      </c>
      <c r="E51" s="114">
        <f>SUM(E52:E52)</f>
        <v>86809437</v>
      </c>
      <c r="F51" s="114">
        <f>SUM(F52:F52)</f>
        <v>86809437</v>
      </c>
      <c r="G51" s="112"/>
      <c r="H51" s="127"/>
      <c r="I51" s="127"/>
      <c r="L51" s="30"/>
    </row>
    <row r="52" spans="1:12" s="12" customFormat="1" ht="25.5" customHeight="1" x14ac:dyDescent="0.3">
      <c r="A52" s="44">
        <v>1</v>
      </c>
      <c r="B52" s="45" t="s">
        <v>3</v>
      </c>
      <c r="C52" s="46">
        <v>7</v>
      </c>
      <c r="D52" s="47">
        <f>E52+F52</f>
        <v>173618874</v>
      </c>
      <c r="E52" s="47">
        <f>'[1]CB, CC xã Thanh Sơn'!$T$29</f>
        <v>86809437</v>
      </c>
      <c r="F52" s="47">
        <f>E52</f>
        <v>86809437</v>
      </c>
      <c r="G52" s="44"/>
      <c r="H52" s="18">
        <v>1</v>
      </c>
      <c r="I52" s="134">
        <f>D52</f>
        <v>173618874</v>
      </c>
      <c r="L52" s="33"/>
    </row>
    <row r="53" spans="1:12" s="12" customFormat="1" ht="44.25" customHeight="1" x14ac:dyDescent="0.3">
      <c r="A53" s="7">
        <v>2</v>
      </c>
      <c r="B53" s="48" t="s">
        <v>102</v>
      </c>
      <c r="C53" s="9">
        <v>7</v>
      </c>
      <c r="D53" s="16">
        <f t="shared" ref="D53" si="15">E53+F53</f>
        <v>42574000</v>
      </c>
      <c r="E53" s="16">
        <f>C53*3041000</f>
        <v>21287000</v>
      </c>
      <c r="F53" s="16">
        <f>+E53</f>
        <v>21287000</v>
      </c>
      <c r="G53" s="7"/>
      <c r="H53" s="18">
        <v>2</v>
      </c>
      <c r="I53" s="18"/>
      <c r="L53" s="33"/>
    </row>
    <row r="54" spans="1:12" s="10" customFormat="1" ht="25.5" customHeight="1" x14ac:dyDescent="0.3">
      <c r="A54" s="112" t="s">
        <v>91</v>
      </c>
      <c r="B54" s="113" t="s">
        <v>17</v>
      </c>
      <c r="C54" s="113"/>
      <c r="D54" s="114">
        <f>D55+D61</f>
        <v>1568087622</v>
      </c>
      <c r="E54" s="114">
        <f>E55+E61</f>
        <v>784043811</v>
      </c>
      <c r="F54" s="114">
        <f>F55+F61</f>
        <v>784043811</v>
      </c>
      <c r="G54" s="112"/>
      <c r="H54" s="127"/>
      <c r="I54" s="127"/>
      <c r="L54" s="30"/>
    </row>
    <row r="55" spans="1:12" s="10" customFormat="1" ht="25.5" customHeight="1" x14ac:dyDescent="0.3">
      <c r="A55" s="70">
        <v>1</v>
      </c>
      <c r="B55" s="71" t="s">
        <v>3</v>
      </c>
      <c r="C55" s="72"/>
      <c r="D55" s="73">
        <f>SUM(D56:D60)</f>
        <v>1458611622</v>
      </c>
      <c r="E55" s="73">
        <f>SUM(E56:E60)</f>
        <v>729305811</v>
      </c>
      <c r="F55" s="73">
        <f>SUM(F56:F60)</f>
        <v>729305811</v>
      </c>
      <c r="G55" s="70"/>
      <c r="H55" s="11"/>
      <c r="I55" s="11"/>
      <c r="L55" s="30"/>
    </row>
    <row r="56" spans="1:12" s="17" customFormat="1" ht="25.5" customHeight="1" x14ac:dyDescent="0.3">
      <c r="A56" s="118" t="s">
        <v>21</v>
      </c>
      <c r="B56" s="76" t="s">
        <v>65</v>
      </c>
      <c r="C56" s="119">
        <v>2</v>
      </c>
      <c r="D56" s="120">
        <f>E56+F56</f>
        <v>112689251.99999997</v>
      </c>
      <c r="E56" s="120">
        <f>+'[2]Đảng ủy xã Thanh Sơn'!$U$7</f>
        <v>56344625.999999985</v>
      </c>
      <c r="F56" s="120">
        <f>E56</f>
        <v>56344625.999999985</v>
      </c>
      <c r="G56" s="118"/>
      <c r="H56" s="5">
        <v>1</v>
      </c>
      <c r="I56" s="134">
        <f t="shared" ref="I56:I60" si="16">D56</f>
        <v>112689251.99999997</v>
      </c>
      <c r="L56" s="35"/>
    </row>
    <row r="57" spans="1:12" s="17" customFormat="1" ht="25.5" customHeight="1" x14ac:dyDescent="0.3">
      <c r="A57" s="118" t="s">
        <v>22</v>
      </c>
      <c r="B57" s="76" t="s">
        <v>66</v>
      </c>
      <c r="C57" s="119">
        <v>6</v>
      </c>
      <c r="D57" s="120">
        <f t="shared" ref="D57:D61" si="17">E57+F57</f>
        <v>130696722</v>
      </c>
      <c r="E57" s="120">
        <f>'[2]Đảng ủy xã Thanh Sơn'!$U$10</f>
        <v>65348361</v>
      </c>
      <c r="F57" s="120">
        <f t="shared" ref="F57:F59" si="18">E57</f>
        <v>65348361</v>
      </c>
      <c r="G57" s="118"/>
      <c r="H57" s="5">
        <v>1</v>
      </c>
      <c r="I57" s="134">
        <f t="shared" si="16"/>
        <v>130696722</v>
      </c>
      <c r="L57" s="35"/>
    </row>
    <row r="58" spans="1:12" s="17" customFormat="1" ht="25.5" customHeight="1" x14ac:dyDescent="0.3">
      <c r="A58" s="118" t="s">
        <v>26</v>
      </c>
      <c r="B58" s="76" t="s">
        <v>67</v>
      </c>
      <c r="C58" s="119">
        <v>5</v>
      </c>
      <c r="D58" s="120">
        <f t="shared" si="17"/>
        <v>166817664</v>
      </c>
      <c r="E58" s="120">
        <f>'[2]Đảng ủy xã Thanh Sơn'!$U$17</f>
        <v>83408832</v>
      </c>
      <c r="F58" s="120">
        <f t="shared" si="18"/>
        <v>83408832</v>
      </c>
      <c r="G58" s="118"/>
      <c r="H58" s="5">
        <v>1</v>
      </c>
      <c r="I58" s="134">
        <f t="shared" si="16"/>
        <v>166817664</v>
      </c>
      <c r="L58" s="35"/>
    </row>
    <row r="59" spans="1:12" s="17" customFormat="1" ht="25.5" customHeight="1" x14ac:dyDescent="0.3">
      <c r="A59" s="118" t="s">
        <v>27</v>
      </c>
      <c r="B59" s="76" t="s">
        <v>68</v>
      </c>
      <c r="C59" s="119">
        <v>5</v>
      </c>
      <c r="D59" s="120">
        <f t="shared" si="17"/>
        <v>146291184</v>
      </c>
      <c r="E59" s="120">
        <f>'[2]Đảng ủy xã Thanh Sơn'!$U$23</f>
        <v>73145592</v>
      </c>
      <c r="F59" s="120">
        <f t="shared" si="18"/>
        <v>73145592</v>
      </c>
      <c r="G59" s="118"/>
      <c r="H59" s="5">
        <v>1</v>
      </c>
      <c r="I59" s="134">
        <f t="shared" si="16"/>
        <v>146291184</v>
      </c>
      <c r="L59" s="35"/>
    </row>
    <row r="60" spans="1:12" s="17" customFormat="1" ht="25.5" customHeight="1" x14ac:dyDescent="0.3">
      <c r="A60" s="118" t="s">
        <v>49</v>
      </c>
      <c r="B60" s="76" t="s">
        <v>71</v>
      </c>
      <c r="C60" s="119"/>
      <c r="D60" s="120">
        <f t="shared" si="17"/>
        <v>902116800</v>
      </c>
      <c r="E60" s="120">
        <f>'[3]không chuyên trách Đảng'!$L$160</f>
        <v>451058400</v>
      </c>
      <c r="F60" s="120">
        <f>E60</f>
        <v>451058400</v>
      </c>
      <c r="G60" s="118"/>
      <c r="H60" s="5">
        <v>1</v>
      </c>
      <c r="I60" s="134">
        <f t="shared" si="16"/>
        <v>902116800</v>
      </c>
      <c r="L60" s="35"/>
    </row>
    <row r="61" spans="1:12" s="13" customFormat="1" ht="44.25" customHeight="1" x14ac:dyDescent="0.3">
      <c r="A61" s="86">
        <v>2</v>
      </c>
      <c r="B61" s="83" t="s">
        <v>102</v>
      </c>
      <c r="C61" s="84">
        <v>18</v>
      </c>
      <c r="D61" s="85">
        <f t="shared" si="17"/>
        <v>109476000</v>
      </c>
      <c r="E61" s="85">
        <f>C61*3041000</f>
        <v>54738000</v>
      </c>
      <c r="F61" s="85">
        <f>+E61</f>
        <v>54738000</v>
      </c>
      <c r="G61" s="86"/>
      <c r="H61" s="11"/>
      <c r="I61" s="11"/>
      <c r="L61" s="34"/>
    </row>
    <row r="62" spans="1:12" s="10" customFormat="1" ht="25.5" customHeight="1" x14ac:dyDescent="0.3">
      <c r="A62" s="112" t="s">
        <v>92</v>
      </c>
      <c r="B62" s="113" t="s">
        <v>18</v>
      </c>
      <c r="C62" s="113"/>
      <c r="D62" s="114">
        <f>SUM(D63:D64)</f>
        <v>274793004</v>
      </c>
      <c r="E62" s="114">
        <f>SUM(E63:E64)</f>
        <v>137396502</v>
      </c>
      <c r="F62" s="114">
        <f t="shared" ref="F62" si="19">SUM(F63:F64)</f>
        <v>137396502</v>
      </c>
      <c r="G62" s="112"/>
      <c r="H62" s="127"/>
      <c r="I62" s="127"/>
      <c r="L62" s="30"/>
    </row>
    <row r="63" spans="1:12" ht="30" customHeight="1" x14ac:dyDescent="0.3">
      <c r="A63" s="24">
        <v>1</v>
      </c>
      <c r="B63" s="25" t="s">
        <v>3</v>
      </c>
      <c r="C63" s="42">
        <v>9</v>
      </c>
      <c r="D63" s="26">
        <f>E63+F63</f>
        <v>220055004</v>
      </c>
      <c r="E63" s="26">
        <f>'[2]Đảng ủy xã Thanh Sơn'!$U$29</f>
        <v>110027502</v>
      </c>
      <c r="F63" s="26">
        <f>E63</f>
        <v>110027502</v>
      </c>
      <c r="G63" s="24"/>
      <c r="H63" s="18">
        <v>1</v>
      </c>
      <c r="I63" s="134">
        <f>D63</f>
        <v>220055004</v>
      </c>
    </row>
    <row r="64" spans="1:12" s="12" customFormat="1" ht="51" customHeight="1" x14ac:dyDescent="0.3">
      <c r="A64" s="7">
        <v>2</v>
      </c>
      <c r="B64" s="48" t="s">
        <v>102</v>
      </c>
      <c r="C64" s="9">
        <v>9</v>
      </c>
      <c r="D64" s="16">
        <f t="shared" ref="D64" si="20">E64+F64</f>
        <v>54738000</v>
      </c>
      <c r="E64" s="16">
        <f>C64*3041000</f>
        <v>27369000</v>
      </c>
      <c r="F64" s="16">
        <f>+E64</f>
        <v>27369000</v>
      </c>
      <c r="G64" s="7"/>
      <c r="H64" s="18">
        <v>2</v>
      </c>
      <c r="I64" s="18"/>
      <c r="L64" s="33"/>
    </row>
    <row r="65" spans="1:13" s="10" customFormat="1" ht="34.5" customHeight="1" x14ac:dyDescent="0.3">
      <c r="A65" s="36" t="s">
        <v>93</v>
      </c>
      <c r="B65" s="37" t="s">
        <v>94</v>
      </c>
      <c r="C65" s="37"/>
      <c r="D65" s="38">
        <f>D66+D79+D92</f>
        <v>9870746404</v>
      </c>
      <c r="E65" s="38">
        <f t="shared" ref="E65:F65" si="21">E66+E79+E92</f>
        <v>4929873202</v>
      </c>
      <c r="F65" s="38">
        <f t="shared" si="21"/>
        <v>4940873202</v>
      </c>
      <c r="G65" s="36"/>
      <c r="H65" s="123"/>
      <c r="I65" s="123"/>
      <c r="L65" s="30"/>
    </row>
    <row r="66" spans="1:13" s="10" customFormat="1" ht="25.5" customHeight="1" x14ac:dyDescent="0.3">
      <c r="A66" s="21" t="s">
        <v>8</v>
      </c>
      <c r="B66" s="22" t="s">
        <v>29</v>
      </c>
      <c r="C66" s="22">
        <f>C68+C71+C74+C77</f>
        <v>98</v>
      </c>
      <c r="D66" s="23">
        <f>D67+D70+D73+D76</f>
        <v>3268351594</v>
      </c>
      <c r="E66" s="23">
        <f t="shared" ref="E66:F66" si="22">E67+E70+E73+E76</f>
        <v>1634175797</v>
      </c>
      <c r="F66" s="23">
        <f t="shared" si="22"/>
        <v>1634175797</v>
      </c>
      <c r="G66" s="21"/>
      <c r="H66" s="125"/>
      <c r="I66" s="125"/>
      <c r="L66" s="30"/>
    </row>
    <row r="67" spans="1:13" s="10" customFormat="1" ht="25.5" customHeight="1" x14ac:dyDescent="0.3">
      <c r="A67" s="14">
        <v>1</v>
      </c>
      <c r="B67" s="97" t="s">
        <v>20</v>
      </c>
      <c r="C67" s="6"/>
      <c r="D67" s="20">
        <f>D68+D69</f>
        <v>943874534</v>
      </c>
      <c r="E67" s="20">
        <f t="shared" ref="E67:F67" si="23">E68+E69</f>
        <v>471937267</v>
      </c>
      <c r="F67" s="20">
        <f t="shared" si="23"/>
        <v>471937267</v>
      </c>
      <c r="G67" s="14"/>
      <c r="H67" s="11"/>
      <c r="I67" s="11"/>
      <c r="L67" s="30"/>
    </row>
    <row r="68" spans="1:13" s="75" customFormat="1" ht="25.5" customHeight="1" x14ac:dyDescent="0.3">
      <c r="A68" s="24"/>
      <c r="B68" s="25" t="s">
        <v>3</v>
      </c>
      <c r="C68" s="42">
        <v>29</v>
      </c>
      <c r="D68" s="26">
        <f>SUM(E68:F68)</f>
        <v>784722534</v>
      </c>
      <c r="E68" s="26">
        <v>392361267</v>
      </c>
      <c r="F68" s="26">
        <f>E68</f>
        <v>392361267</v>
      </c>
      <c r="G68" s="24"/>
      <c r="H68" s="18">
        <v>1</v>
      </c>
      <c r="I68" s="134">
        <f>D68</f>
        <v>784722534</v>
      </c>
      <c r="J68" s="75">
        <v>37000000</v>
      </c>
      <c r="K68" s="75">
        <f>+J68*11%</f>
        <v>4070000</v>
      </c>
      <c r="L68" s="74">
        <f>+J68-K68</f>
        <v>32930000</v>
      </c>
      <c r="M68" s="74">
        <v>2744000</v>
      </c>
    </row>
    <row r="69" spans="1:13" s="75" customFormat="1" ht="37.5" customHeight="1" x14ac:dyDescent="0.3">
      <c r="A69" s="89"/>
      <c r="B69" s="48" t="s">
        <v>99</v>
      </c>
      <c r="C69" s="87">
        <v>29</v>
      </c>
      <c r="D69" s="88">
        <f>E69+F69</f>
        <v>159152000</v>
      </c>
      <c r="E69" s="88">
        <f>C69*2744000</f>
        <v>79576000</v>
      </c>
      <c r="F69" s="88">
        <f>E69</f>
        <v>79576000</v>
      </c>
      <c r="G69" s="101"/>
      <c r="H69" s="130">
        <v>2</v>
      </c>
      <c r="I69" s="130"/>
      <c r="L69" s="74"/>
    </row>
    <row r="70" spans="1:13" s="10" customFormat="1" ht="25.5" customHeight="1" x14ac:dyDescent="0.3">
      <c r="A70" s="14">
        <v>2</v>
      </c>
      <c r="B70" s="97" t="s">
        <v>23</v>
      </c>
      <c r="C70" s="6"/>
      <c r="D70" s="20">
        <f>D71+D72</f>
        <v>548629500</v>
      </c>
      <c r="E70" s="20">
        <f t="shared" ref="E70:F70" si="24">E71+E72</f>
        <v>274314750</v>
      </c>
      <c r="F70" s="20">
        <f t="shared" si="24"/>
        <v>274314750</v>
      </c>
      <c r="G70" s="102"/>
      <c r="H70" s="131"/>
      <c r="I70" s="131"/>
      <c r="L70" s="30"/>
    </row>
    <row r="71" spans="1:13" s="75" customFormat="1" ht="25.5" customHeight="1" x14ac:dyDescent="0.3">
      <c r="A71" s="24"/>
      <c r="B71" s="25" t="s">
        <v>3</v>
      </c>
      <c r="C71" s="42">
        <v>17</v>
      </c>
      <c r="D71" s="26">
        <f>SUM(E71:F71)</f>
        <v>455333500</v>
      </c>
      <c r="E71" s="26">
        <v>227666750</v>
      </c>
      <c r="F71" s="26">
        <f>E71</f>
        <v>227666750</v>
      </c>
      <c r="G71" s="103"/>
      <c r="H71" s="132">
        <v>1</v>
      </c>
      <c r="I71" s="134">
        <f>D71</f>
        <v>455333500</v>
      </c>
      <c r="L71" s="74"/>
    </row>
    <row r="72" spans="1:13" s="75" customFormat="1" ht="51" customHeight="1" x14ac:dyDescent="0.3">
      <c r="A72" s="89"/>
      <c r="B72" s="48" t="s">
        <v>99</v>
      </c>
      <c r="C72" s="87">
        <v>17</v>
      </c>
      <c r="D72" s="88">
        <f>E72+F72</f>
        <v>93296000</v>
      </c>
      <c r="E72" s="88">
        <f>C72*2744000</f>
        <v>46648000</v>
      </c>
      <c r="F72" s="88">
        <f>E72</f>
        <v>46648000</v>
      </c>
      <c r="G72" s="101"/>
      <c r="H72" s="130">
        <v>2</v>
      </c>
      <c r="I72" s="130"/>
      <c r="L72" s="74"/>
    </row>
    <row r="73" spans="1:13" s="10" customFormat="1" ht="25.5" customHeight="1" x14ac:dyDescent="0.3">
      <c r="A73" s="14">
        <v>3</v>
      </c>
      <c r="B73" s="97" t="s">
        <v>24</v>
      </c>
      <c r="C73" s="6"/>
      <c r="D73" s="20">
        <f>D74+D75</f>
        <v>769181806</v>
      </c>
      <c r="E73" s="20">
        <f t="shared" ref="E73:F73" si="25">E74+E75</f>
        <v>384590903</v>
      </c>
      <c r="F73" s="20">
        <f t="shared" si="25"/>
        <v>384590903</v>
      </c>
      <c r="G73" s="102"/>
      <c r="H73" s="131"/>
      <c r="I73" s="131"/>
      <c r="L73" s="30"/>
    </row>
    <row r="74" spans="1:13" s="75" customFormat="1" ht="25.5" customHeight="1" x14ac:dyDescent="0.3">
      <c r="A74" s="24"/>
      <c r="B74" s="25" t="s">
        <v>3</v>
      </c>
      <c r="C74" s="42">
        <v>20</v>
      </c>
      <c r="D74" s="26">
        <f>SUM(E74:F74)</f>
        <v>659421806</v>
      </c>
      <c r="E74" s="26">
        <v>329710903</v>
      </c>
      <c r="F74" s="26">
        <f>E74</f>
        <v>329710903</v>
      </c>
      <c r="G74" s="103"/>
      <c r="H74" s="132">
        <v>1</v>
      </c>
      <c r="I74" s="134">
        <f>D74</f>
        <v>659421806</v>
      </c>
      <c r="L74" s="74"/>
    </row>
    <row r="75" spans="1:13" s="75" customFormat="1" ht="53.25" customHeight="1" x14ac:dyDescent="0.3">
      <c r="A75" s="89"/>
      <c r="B75" s="48" t="s">
        <v>99</v>
      </c>
      <c r="C75" s="87">
        <v>20</v>
      </c>
      <c r="D75" s="88">
        <f>E75+F75</f>
        <v>109760000</v>
      </c>
      <c r="E75" s="88">
        <f>C75*2744000</f>
        <v>54880000</v>
      </c>
      <c r="F75" s="88">
        <f>E75</f>
        <v>54880000</v>
      </c>
      <c r="G75" s="101"/>
      <c r="H75" s="130">
        <v>2</v>
      </c>
      <c r="I75" s="130"/>
      <c r="L75" s="74"/>
    </row>
    <row r="76" spans="1:13" s="10" customFormat="1" ht="25.5" customHeight="1" x14ac:dyDescent="0.3">
      <c r="A76" s="14">
        <v>4</v>
      </c>
      <c r="B76" s="97" t="s">
        <v>25</v>
      </c>
      <c r="C76" s="6"/>
      <c r="D76" s="20">
        <f>D77+D78</f>
        <v>1006665754</v>
      </c>
      <c r="E76" s="20">
        <f t="shared" ref="E76:F76" si="26">E77+E78</f>
        <v>503332877</v>
      </c>
      <c r="F76" s="20">
        <f t="shared" si="26"/>
        <v>503332877</v>
      </c>
      <c r="G76" s="102"/>
      <c r="H76" s="131"/>
      <c r="I76" s="131"/>
      <c r="L76" s="30"/>
    </row>
    <row r="77" spans="1:13" s="75" customFormat="1" ht="25.5" customHeight="1" x14ac:dyDescent="0.3">
      <c r="A77" s="24"/>
      <c r="B77" s="25" t="s">
        <v>3</v>
      </c>
      <c r="C77" s="42">
        <v>32</v>
      </c>
      <c r="D77" s="26">
        <f>SUM(E77:F77)</f>
        <v>831049754</v>
      </c>
      <c r="E77" s="26">
        <v>415524877</v>
      </c>
      <c r="F77" s="26">
        <f>E77</f>
        <v>415524877</v>
      </c>
      <c r="G77" s="103"/>
      <c r="H77" s="132">
        <v>1</v>
      </c>
      <c r="I77" s="134">
        <f>D77</f>
        <v>831049754</v>
      </c>
      <c r="L77" s="74"/>
    </row>
    <row r="78" spans="1:13" s="75" customFormat="1" ht="50.25" customHeight="1" x14ac:dyDescent="0.3">
      <c r="A78" s="89"/>
      <c r="B78" s="48" t="s">
        <v>99</v>
      </c>
      <c r="C78" s="87">
        <v>32</v>
      </c>
      <c r="D78" s="88">
        <f>E78+F78</f>
        <v>175616000</v>
      </c>
      <c r="E78" s="88">
        <f>C78*2744000</f>
        <v>87808000</v>
      </c>
      <c r="F78" s="88">
        <f>E78</f>
        <v>87808000</v>
      </c>
      <c r="G78" s="101"/>
      <c r="H78" s="130">
        <v>2</v>
      </c>
      <c r="I78" s="130"/>
      <c r="L78" s="74"/>
    </row>
    <row r="79" spans="1:13" s="10" customFormat="1" ht="25.5" customHeight="1" x14ac:dyDescent="0.3">
      <c r="A79" s="21" t="s">
        <v>10</v>
      </c>
      <c r="B79" s="22" t="s">
        <v>28</v>
      </c>
      <c r="C79" s="22">
        <f>C81+C84+C87+C90</f>
        <v>102</v>
      </c>
      <c r="D79" s="23">
        <f>D80+D83+D86+D89</f>
        <v>3562712908</v>
      </c>
      <c r="E79" s="23">
        <f t="shared" ref="E79:F79" si="27">E80+E83+E86+E89</f>
        <v>1775856454</v>
      </c>
      <c r="F79" s="23">
        <f t="shared" si="27"/>
        <v>1786856454</v>
      </c>
      <c r="G79" s="100"/>
      <c r="H79" s="133"/>
      <c r="I79" s="133"/>
      <c r="L79" s="30"/>
    </row>
    <row r="80" spans="1:13" s="10" customFormat="1" ht="25.5" customHeight="1" x14ac:dyDescent="0.3">
      <c r="A80" s="14">
        <v>1</v>
      </c>
      <c r="B80" s="97" t="s">
        <v>30</v>
      </c>
      <c r="C80" s="6"/>
      <c r="D80" s="20">
        <f>SUM(D81:D82)</f>
        <v>1007524000</v>
      </c>
      <c r="E80" s="20">
        <f t="shared" ref="E80" si="28">SUM(E81:E82)</f>
        <v>503762000</v>
      </c>
      <c r="F80" s="20">
        <f t="shared" ref="F80" si="29">SUM(F81:F82)</f>
        <v>503762000</v>
      </c>
      <c r="G80" s="102"/>
      <c r="H80" s="131"/>
      <c r="I80" s="131"/>
      <c r="L80" s="30"/>
    </row>
    <row r="81" spans="1:14" s="75" customFormat="1" ht="25.5" customHeight="1" x14ac:dyDescent="0.3">
      <c r="A81" s="24"/>
      <c r="B81" s="25" t="s">
        <v>3</v>
      </c>
      <c r="C81" s="42">
        <v>28</v>
      </c>
      <c r="D81" s="26">
        <f>SUM(E81:F81)</f>
        <v>870436000</v>
      </c>
      <c r="E81" s="26">
        <v>435218000</v>
      </c>
      <c r="F81" s="26">
        <f>E81</f>
        <v>435218000</v>
      </c>
      <c r="G81" s="103"/>
      <c r="H81" s="132">
        <v>1</v>
      </c>
      <c r="I81" s="134">
        <f>D81</f>
        <v>870436000</v>
      </c>
      <c r="K81" s="75">
        <v>33000000</v>
      </c>
      <c r="L81" s="74">
        <f>+K81*11%</f>
        <v>3630000</v>
      </c>
      <c r="M81" s="117">
        <f>+K81-L81</f>
        <v>29370000</v>
      </c>
      <c r="N81" s="74">
        <f>+M81/12</f>
        <v>2447500</v>
      </c>
    </row>
    <row r="82" spans="1:14" s="75" customFormat="1" ht="55.5" customHeight="1" x14ac:dyDescent="0.3">
      <c r="A82" s="89"/>
      <c r="B82" s="48" t="s">
        <v>100</v>
      </c>
      <c r="C82" s="87">
        <v>28</v>
      </c>
      <c r="D82" s="88">
        <f>E82+F82</f>
        <v>137088000</v>
      </c>
      <c r="E82" s="88">
        <f>C82*2448000</f>
        <v>68544000</v>
      </c>
      <c r="F82" s="88">
        <f>+E82</f>
        <v>68544000</v>
      </c>
      <c r="G82" s="101"/>
      <c r="H82" s="130">
        <v>2</v>
      </c>
      <c r="I82" s="130"/>
      <c r="L82" s="74"/>
    </row>
    <row r="83" spans="1:14" s="10" customFormat="1" ht="25.5" customHeight="1" x14ac:dyDescent="0.3">
      <c r="A83" s="14">
        <v>2</v>
      </c>
      <c r="B83" s="97" t="s">
        <v>31</v>
      </c>
      <c r="C83" s="6"/>
      <c r="D83" s="20">
        <f>SUM(D84:D85)</f>
        <v>613694908</v>
      </c>
      <c r="E83" s="20">
        <f t="shared" ref="E83" si="30">SUM(E84:E85)</f>
        <v>301347454</v>
      </c>
      <c r="F83" s="20">
        <f t="shared" ref="F83" si="31">SUM(F84:F85)</f>
        <v>312347454</v>
      </c>
      <c r="G83" s="102"/>
      <c r="H83" s="131"/>
      <c r="I83" s="131"/>
      <c r="L83" s="30"/>
    </row>
    <row r="84" spans="1:14" s="75" customFormat="1" ht="25.5" customHeight="1" x14ac:dyDescent="0.3">
      <c r="A84" s="24"/>
      <c r="B84" s="25" t="s">
        <v>3</v>
      </c>
      <c r="C84" s="42">
        <v>18</v>
      </c>
      <c r="D84" s="26">
        <f>SUM(E84:F84)</f>
        <v>525566908</v>
      </c>
      <c r="E84" s="26">
        <v>257283454</v>
      </c>
      <c r="F84" s="26">
        <v>268283454</v>
      </c>
      <c r="G84" s="103"/>
      <c r="H84" s="132">
        <v>1</v>
      </c>
      <c r="I84" s="134">
        <f>D84</f>
        <v>525566908</v>
      </c>
      <c r="L84" s="74"/>
    </row>
    <row r="85" spans="1:14" s="75" customFormat="1" ht="53.25" customHeight="1" x14ac:dyDescent="0.3">
      <c r="A85" s="89"/>
      <c r="B85" s="48" t="s">
        <v>100</v>
      </c>
      <c r="C85" s="87">
        <v>18</v>
      </c>
      <c r="D85" s="88">
        <f>E85+F85</f>
        <v>88128000</v>
      </c>
      <c r="E85" s="88">
        <f>C85*2448000</f>
        <v>44064000</v>
      </c>
      <c r="F85" s="88">
        <f>+E85</f>
        <v>44064000</v>
      </c>
      <c r="G85" s="101"/>
      <c r="H85" s="130">
        <v>2</v>
      </c>
      <c r="I85" s="130"/>
      <c r="L85" s="74"/>
    </row>
    <row r="86" spans="1:14" s="10" customFormat="1" ht="25.5" customHeight="1" x14ac:dyDescent="0.3">
      <c r="A86" s="14">
        <v>3</v>
      </c>
      <c r="B86" s="97" t="s">
        <v>32</v>
      </c>
      <c r="C86" s="6"/>
      <c r="D86" s="20">
        <f>SUM(D87:D88)</f>
        <v>712238000</v>
      </c>
      <c r="E86" s="20">
        <f t="shared" ref="E86" si="32">SUM(E87:E88)</f>
        <v>356119000</v>
      </c>
      <c r="F86" s="20">
        <f t="shared" ref="F86" si="33">SUM(F87:F88)</f>
        <v>356119000</v>
      </c>
      <c r="G86" s="102"/>
      <c r="H86" s="131"/>
      <c r="I86" s="131"/>
      <c r="L86" s="30"/>
    </row>
    <row r="87" spans="1:14" s="75" customFormat="1" ht="25.5" customHeight="1" x14ac:dyDescent="0.3">
      <c r="A87" s="24"/>
      <c r="B87" s="25" t="s">
        <v>3</v>
      </c>
      <c r="C87" s="42">
        <v>20</v>
      </c>
      <c r="D87" s="26">
        <f>SUM(E87:F87)</f>
        <v>614318000</v>
      </c>
      <c r="E87" s="26">
        <v>307159000</v>
      </c>
      <c r="F87" s="26">
        <f>+E87</f>
        <v>307159000</v>
      </c>
      <c r="G87" s="103"/>
      <c r="H87" s="132">
        <v>1</v>
      </c>
      <c r="I87" s="134">
        <f>D87</f>
        <v>614318000</v>
      </c>
      <c r="L87" s="74"/>
    </row>
    <row r="88" spans="1:14" s="75" customFormat="1" ht="47.25" customHeight="1" x14ac:dyDescent="0.3">
      <c r="A88" s="89"/>
      <c r="B88" s="48" t="s">
        <v>100</v>
      </c>
      <c r="C88" s="87">
        <v>20</v>
      </c>
      <c r="D88" s="88">
        <f>E88+F88</f>
        <v>97920000</v>
      </c>
      <c r="E88" s="88">
        <f>C88*2448000</f>
        <v>48960000</v>
      </c>
      <c r="F88" s="88">
        <f>+E88</f>
        <v>48960000</v>
      </c>
      <c r="G88" s="101"/>
      <c r="H88" s="130">
        <v>2</v>
      </c>
      <c r="I88" s="130"/>
      <c r="L88" s="74"/>
    </row>
    <row r="89" spans="1:14" s="10" customFormat="1" ht="25.5" customHeight="1" x14ac:dyDescent="0.3">
      <c r="A89" s="14">
        <v>4</v>
      </c>
      <c r="B89" s="97" t="s">
        <v>33</v>
      </c>
      <c r="C89" s="6"/>
      <c r="D89" s="20">
        <f>SUM(D90:D91)</f>
        <v>1229256000</v>
      </c>
      <c r="E89" s="20">
        <f t="shared" ref="E89:F89" si="34">SUM(E90:E91)</f>
        <v>614628000</v>
      </c>
      <c r="F89" s="20">
        <f t="shared" si="34"/>
        <v>614628000</v>
      </c>
      <c r="G89" s="102"/>
      <c r="H89" s="131"/>
      <c r="I89" s="131"/>
      <c r="L89" s="30"/>
    </row>
    <row r="90" spans="1:14" s="75" customFormat="1" ht="27" customHeight="1" x14ac:dyDescent="0.3">
      <c r="A90" s="24"/>
      <c r="B90" s="25" t="s">
        <v>3</v>
      </c>
      <c r="C90" s="42">
        <v>36</v>
      </c>
      <c r="D90" s="26">
        <f>SUM(E90:F90)</f>
        <v>1053000000</v>
      </c>
      <c r="E90" s="26">
        <v>526500000</v>
      </c>
      <c r="F90" s="26">
        <f>+E90</f>
        <v>526500000</v>
      </c>
      <c r="G90" s="103"/>
      <c r="H90" s="132">
        <v>1</v>
      </c>
      <c r="I90" s="134">
        <f>D90</f>
        <v>1053000000</v>
      </c>
      <c r="L90" s="74"/>
    </row>
    <row r="91" spans="1:14" s="75" customFormat="1" ht="39" customHeight="1" x14ac:dyDescent="0.3">
      <c r="A91" s="89"/>
      <c r="B91" s="48" t="s">
        <v>100</v>
      </c>
      <c r="C91" s="87">
        <v>36</v>
      </c>
      <c r="D91" s="88">
        <f>E91+F91</f>
        <v>176256000</v>
      </c>
      <c r="E91" s="88">
        <f>C91*2448000</f>
        <v>88128000</v>
      </c>
      <c r="F91" s="88">
        <f>+E91</f>
        <v>88128000</v>
      </c>
      <c r="G91" s="101"/>
      <c r="H91" s="130">
        <v>2</v>
      </c>
      <c r="I91" s="130"/>
      <c r="L91" s="74"/>
    </row>
    <row r="92" spans="1:14" s="10" customFormat="1" ht="25.5" customHeight="1" x14ac:dyDescent="0.3">
      <c r="A92" s="21" t="s">
        <v>12</v>
      </c>
      <c r="B92" s="22" t="s">
        <v>34</v>
      </c>
      <c r="C92" s="22">
        <f>C94+C97+C100+C103</f>
        <v>85</v>
      </c>
      <c r="D92" s="23">
        <f>D93+D96+D99+D102</f>
        <v>3039681902</v>
      </c>
      <c r="E92" s="23">
        <f t="shared" ref="E92:F92" si="35">E93+E96+E99+E102</f>
        <v>1519840951</v>
      </c>
      <c r="F92" s="23">
        <f t="shared" si="35"/>
        <v>1519840951</v>
      </c>
      <c r="G92" s="100"/>
      <c r="H92" s="133"/>
      <c r="I92" s="133"/>
      <c r="L92" s="30"/>
    </row>
    <row r="93" spans="1:14" s="10" customFormat="1" ht="25.5" customHeight="1" x14ac:dyDescent="0.3">
      <c r="A93" s="14">
        <v>1</v>
      </c>
      <c r="B93" s="97" t="s">
        <v>35</v>
      </c>
      <c r="C93" s="6"/>
      <c r="D93" s="20">
        <f>SUM(D94:D95)</f>
        <v>845960000</v>
      </c>
      <c r="E93" s="20">
        <f t="shared" ref="E93" si="36">SUM(E94:E95)</f>
        <v>422980000</v>
      </c>
      <c r="F93" s="20">
        <f t="shared" ref="F93" si="37">SUM(F94:F95)</f>
        <v>422980000</v>
      </c>
      <c r="G93" s="102"/>
      <c r="H93" s="131"/>
      <c r="I93" s="131"/>
      <c r="L93" s="30"/>
    </row>
    <row r="94" spans="1:14" s="75" customFormat="1" ht="25.5" customHeight="1" x14ac:dyDescent="0.3">
      <c r="A94" s="24"/>
      <c r="B94" s="25" t="s">
        <v>3</v>
      </c>
      <c r="C94" s="42">
        <v>24</v>
      </c>
      <c r="D94" s="26">
        <f>SUM(E94:F94)</f>
        <v>735560000</v>
      </c>
      <c r="E94" s="26">
        <v>367780000</v>
      </c>
      <c r="F94" s="26">
        <f>+E94</f>
        <v>367780000</v>
      </c>
      <c r="G94" s="103"/>
      <c r="H94" s="132">
        <v>1</v>
      </c>
      <c r="I94" s="134">
        <f>D94</f>
        <v>735560000</v>
      </c>
      <c r="L94" s="74"/>
    </row>
    <row r="95" spans="1:14" s="75" customFormat="1" ht="44.25" customHeight="1" x14ac:dyDescent="0.3">
      <c r="A95" s="89"/>
      <c r="B95" s="48" t="s">
        <v>101</v>
      </c>
      <c r="C95" s="42">
        <v>24</v>
      </c>
      <c r="D95" s="88">
        <f>E95+F95</f>
        <v>110400000</v>
      </c>
      <c r="E95" s="88">
        <f>C95*2300000</f>
        <v>55200000</v>
      </c>
      <c r="F95" s="88">
        <f>E95</f>
        <v>55200000</v>
      </c>
      <c r="G95" s="101"/>
      <c r="H95" s="130">
        <v>2</v>
      </c>
      <c r="I95" s="130"/>
      <c r="K95" s="75">
        <v>31000000</v>
      </c>
      <c r="L95" s="74">
        <f>+K95*11%</f>
        <v>3410000</v>
      </c>
      <c r="M95" s="117">
        <f>+K95-L95</f>
        <v>27590000</v>
      </c>
      <c r="N95" s="74">
        <f>+M95/12</f>
        <v>2299166.6666666665</v>
      </c>
    </row>
    <row r="96" spans="1:14" s="10" customFormat="1" ht="25.5" customHeight="1" x14ac:dyDescent="0.3">
      <c r="A96" s="14">
        <v>2</v>
      </c>
      <c r="B96" s="97" t="s">
        <v>36</v>
      </c>
      <c r="C96" s="6"/>
      <c r="D96" s="20">
        <f>SUM(D97:D98)</f>
        <v>540466594</v>
      </c>
      <c r="E96" s="20">
        <f t="shared" ref="E96" si="38">SUM(E97:E98)</f>
        <v>270233297</v>
      </c>
      <c r="F96" s="20">
        <f t="shared" ref="F96" si="39">SUM(F97:F98)</f>
        <v>270233297</v>
      </c>
      <c r="G96" s="102"/>
      <c r="H96" s="131"/>
      <c r="I96" s="131"/>
      <c r="L96" s="30"/>
    </row>
    <row r="97" spans="1:12" s="75" customFormat="1" ht="25.5" customHeight="1" x14ac:dyDescent="0.3">
      <c r="A97" s="24"/>
      <c r="B97" s="25" t="s">
        <v>3</v>
      </c>
      <c r="C97" s="42">
        <v>18</v>
      </c>
      <c r="D97" s="26">
        <f>SUM(E97:F97)</f>
        <v>457666594</v>
      </c>
      <c r="E97" s="26">
        <v>228833297</v>
      </c>
      <c r="F97" s="26">
        <f>+E97</f>
        <v>228833297</v>
      </c>
      <c r="G97" s="103"/>
      <c r="H97" s="132">
        <v>1</v>
      </c>
      <c r="I97" s="134">
        <f>D97</f>
        <v>457666594</v>
      </c>
      <c r="L97" s="74"/>
    </row>
    <row r="98" spans="1:12" s="75" customFormat="1" ht="50.25" customHeight="1" x14ac:dyDescent="0.3">
      <c r="A98" s="89"/>
      <c r="B98" s="48" t="s">
        <v>101</v>
      </c>
      <c r="C98" s="87">
        <f>C97</f>
        <v>18</v>
      </c>
      <c r="D98" s="88">
        <f>E98+F98</f>
        <v>82800000</v>
      </c>
      <c r="E98" s="88">
        <f>C98*2300000</f>
        <v>41400000</v>
      </c>
      <c r="F98" s="88">
        <f>E98</f>
        <v>41400000</v>
      </c>
      <c r="G98" s="101"/>
      <c r="H98" s="130">
        <v>2</v>
      </c>
      <c r="I98" s="130"/>
      <c r="L98" s="74"/>
    </row>
    <row r="99" spans="1:12" s="10" customFormat="1" ht="25.5" customHeight="1" x14ac:dyDescent="0.3">
      <c r="A99" s="14">
        <v>3</v>
      </c>
      <c r="B99" s="97" t="s">
        <v>37</v>
      </c>
      <c r="C99" s="6"/>
      <c r="D99" s="20">
        <f>SUM(D100:D101)</f>
        <v>655655308</v>
      </c>
      <c r="E99" s="20">
        <f t="shared" ref="E99" si="40">SUM(E100:E101)</f>
        <v>327827654</v>
      </c>
      <c r="F99" s="20">
        <f t="shared" ref="F99" si="41">SUM(F100:F101)</f>
        <v>327827654</v>
      </c>
      <c r="G99" s="102"/>
      <c r="H99" s="131"/>
      <c r="I99" s="131"/>
      <c r="L99" s="30"/>
    </row>
    <row r="100" spans="1:12" s="75" customFormat="1" ht="30" customHeight="1" x14ac:dyDescent="0.3">
      <c r="A100" s="24"/>
      <c r="B100" s="25" t="s">
        <v>3</v>
      </c>
      <c r="C100" s="42">
        <v>17</v>
      </c>
      <c r="D100" s="26">
        <f>SUM(E100:F100)</f>
        <v>577455308</v>
      </c>
      <c r="E100" s="26">
        <v>288727654</v>
      </c>
      <c r="F100" s="26">
        <f>+E100</f>
        <v>288727654</v>
      </c>
      <c r="G100" s="103"/>
      <c r="H100" s="132">
        <v>1</v>
      </c>
      <c r="I100" s="134">
        <f>D100</f>
        <v>577455308</v>
      </c>
      <c r="L100" s="74"/>
    </row>
    <row r="101" spans="1:12" s="75" customFormat="1" ht="44.25" customHeight="1" x14ac:dyDescent="0.3">
      <c r="A101" s="89"/>
      <c r="B101" s="48" t="s">
        <v>101</v>
      </c>
      <c r="C101" s="87">
        <f>C100</f>
        <v>17</v>
      </c>
      <c r="D101" s="88">
        <f>E101+F101</f>
        <v>78200000</v>
      </c>
      <c r="E101" s="88">
        <f>C101*2300000</f>
        <v>39100000</v>
      </c>
      <c r="F101" s="88">
        <f>E101</f>
        <v>39100000</v>
      </c>
      <c r="G101" s="101"/>
      <c r="H101" s="130">
        <v>2</v>
      </c>
      <c r="I101" s="130"/>
      <c r="L101" s="74"/>
    </row>
    <row r="102" spans="1:12" s="10" customFormat="1" ht="25.5" customHeight="1" x14ac:dyDescent="0.3">
      <c r="A102" s="14">
        <v>4</v>
      </c>
      <c r="B102" s="97" t="s">
        <v>38</v>
      </c>
      <c r="C102" s="6"/>
      <c r="D102" s="20">
        <f>SUM(D103:D104)</f>
        <v>997600000</v>
      </c>
      <c r="E102" s="20">
        <f t="shared" ref="E102" si="42">SUM(E103:E104)</f>
        <v>498800000</v>
      </c>
      <c r="F102" s="20">
        <f t="shared" ref="F102" si="43">SUM(F103:F104)</f>
        <v>498800000</v>
      </c>
      <c r="G102" s="102"/>
      <c r="H102" s="131"/>
      <c r="I102" s="131"/>
      <c r="L102" s="30"/>
    </row>
    <row r="103" spans="1:12" s="75" customFormat="1" ht="31.5" customHeight="1" x14ac:dyDescent="0.3">
      <c r="A103" s="24"/>
      <c r="B103" s="25" t="s">
        <v>3</v>
      </c>
      <c r="C103" s="42">
        <v>26</v>
      </c>
      <c r="D103" s="26">
        <f>SUM(E103:F103)</f>
        <v>878000000</v>
      </c>
      <c r="E103" s="26">
        <v>439000000</v>
      </c>
      <c r="F103" s="26">
        <f>+E103</f>
        <v>439000000</v>
      </c>
      <c r="G103" s="103"/>
      <c r="H103" s="132">
        <v>1</v>
      </c>
      <c r="I103" s="134">
        <f>D103</f>
        <v>878000000</v>
      </c>
      <c r="L103" s="74"/>
    </row>
    <row r="104" spans="1:12" s="75" customFormat="1" ht="53.25" customHeight="1" x14ac:dyDescent="0.3">
      <c r="A104" s="53"/>
      <c r="B104" s="62" t="s">
        <v>101</v>
      </c>
      <c r="C104" s="54">
        <f>C103</f>
        <v>26</v>
      </c>
      <c r="D104" s="55">
        <f>E104+F104</f>
        <v>119600000</v>
      </c>
      <c r="E104" s="55">
        <f>C104*2300000</f>
        <v>59800000</v>
      </c>
      <c r="F104" s="55">
        <f>E104</f>
        <v>59800000</v>
      </c>
      <c r="G104" s="104"/>
      <c r="H104" s="130">
        <v>2</v>
      </c>
      <c r="I104" s="130"/>
      <c r="L104" s="74"/>
    </row>
    <row r="105" spans="1:12" ht="25.5" customHeight="1" x14ac:dyDescent="0.3">
      <c r="A105" s="18"/>
      <c r="B105" s="19"/>
      <c r="C105" s="43"/>
      <c r="D105" s="28"/>
      <c r="E105" s="28"/>
      <c r="F105" s="28"/>
      <c r="G105" s="18"/>
      <c r="H105" s="18"/>
      <c r="I105" s="18"/>
    </row>
  </sheetData>
  <autoFilter ref="A7:P104"/>
  <mergeCells count="8">
    <mergeCell ref="A2:G2"/>
    <mergeCell ref="A3:G3"/>
    <mergeCell ref="E5:F5"/>
    <mergeCell ref="A5:A6"/>
    <mergeCell ref="B5:B6"/>
    <mergeCell ref="D5:D6"/>
    <mergeCell ref="G5:G6"/>
    <mergeCell ref="C5:C6"/>
  </mergeCells>
  <printOptions horizontalCentered="1"/>
  <pageMargins left="0" right="0" top="0.39370078740157483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99" sqref="B99"/>
    </sheetView>
  </sheetViews>
  <sheetFormatPr defaultRowHeight="18.75" x14ac:dyDescent="0.3"/>
  <cols>
    <col min="1" max="1" width="6.5546875" style="2" customWidth="1"/>
    <col min="2" max="2" width="48" style="8" customWidth="1"/>
    <col min="3" max="3" width="6.109375" style="8" customWidth="1"/>
    <col min="4" max="6" width="13" style="27" customWidth="1"/>
    <col min="7" max="7" width="14.44140625" style="2" customWidth="1"/>
    <col min="8" max="9" width="14.44140625" style="2" hidden="1" customWidth="1"/>
    <col min="10" max="10" width="13.88671875" style="1" hidden="1" customWidth="1"/>
    <col min="11" max="11" width="14.88671875" style="1" hidden="1" customWidth="1"/>
    <col min="12" max="12" width="14.88671875" style="29" hidden="1" customWidth="1"/>
    <col min="13" max="14" width="13.21875" style="1" hidden="1" customWidth="1"/>
    <col min="15" max="15" width="10.5546875" style="1" hidden="1" customWidth="1"/>
    <col min="16" max="16" width="12.6640625" style="1" hidden="1" customWidth="1"/>
    <col min="17" max="19" width="8.88671875" style="1" hidden="1" customWidth="1"/>
    <col min="20" max="20" width="8.88671875" style="2" hidden="1" customWidth="1"/>
    <col min="21" max="21" width="14" style="29" hidden="1" customWidth="1"/>
    <col min="22" max="22" width="12.109375" style="29" customWidth="1"/>
    <col min="23" max="16384" width="8.88671875" style="1"/>
  </cols>
  <sheetData>
    <row r="1" spans="1:22" x14ac:dyDescent="0.3">
      <c r="A1" s="3"/>
    </row>
    <row r="2" spans="1:22" ht="35.25" customHeight="1" x14ac:dyDescent="0.3">
      <c r="A2" s="187" t="s">
        <v>116</v>
      </c>
      <c r="B2" s="188"/>
      <c r="C2" s="188"/>
      <c r="D2" s="188"/>
      <c r="E2" s="188"/>
      <c r="F2" s="188"/>
      <c r="G2" s="188"/>
      <c r="H2" s="77"/>
      <c r="I2" s="77"/>
    </row>
    <row r="3" spans="1:22" ht="30" customHeight="1" x14ac:dyDescent="0.3">
      <c r="A3" s="189" t="s">
        <v>115</v>
      </c>
      <c r="B3" s="189"/>
      <c r="C3" s="189"/>
      <c r="D3" s="189"/>
      <c r="E3" s="189"/>
      <c r="F3" s="189"/>
      <c r="G3" s="189"/>
      <c r="H3" s="78"/>
      <c r="I3" s="78"/>
    </row>
    <row r="4" spans="1:22" x14ac:dyDescent="0.3">
      <c r="G4" s="5" t="s">
        <v>2</v>
      </c>
      <c r="H4" s="5"/>
      <c r="I4" s="5"/>
    </row>
    <row r="5" spans="1:22" s="10" customFormat="1" x14ac:dyDescent="0.3">
      <c r="A5" s="191" t="s">
        <v>0</v>
      </c>
      <c r="B5" s="193" t="s">
        <v>7</v>
      </c>
      <c r="C5" s="197" t="s">
        <v>42</v>
      </c>
      <c r="D5" s="195" t="s">
        <v>40</v>
      </c>
      <c r="E5" s="190" t="s">
        <v>39</v>
      </c>
      <c r="F5" s="190"/>
      <c r="G5" s="191" t="s">
        <v>1</v>
      </c>
      <c r="H5" s="11"/>
      <c r="I5" s="11"/>
      <c r="L5" s="30"/>
      <c r="T5" s="4"/>
      <c r="U5" s="30"/>
      <c r="V5" s="30"/>
    </row>
    <row r="6" spans="1:22" s="4" customFormat="1" ht="45" customHeight="1" x14ac:dyDescent="0.3">
      <c r="A6" s="192"/>
      <c r="B6" s="194"/>
      <c r="C6" s="198"/>
      <c r="D6" s="196"/>
      <c r="E6" s="15" t="s">
        <v>4</v>
      </c>
      <c r="F6" s="15" t="s">
        <v>5</v>
      </c>
      <c r="G6" s="192"/>
      <c r="H6" s="11"/>
      <c r="I6" s="11"/>
      <c r="L6" s="31"/>
      <c r="U6" s="31"/>
      <c r="V6" s="31"/>
    </row>
    <row r="7" spans="1:22" s="11" customFormat="1" ht="24" customHeight="1" x14ac:dyDescent="0.3">
      <c r="A7" s="14">
        <v>1</v>
      </c>
      <c r="B7" s="6">
        <v>2</v>
      </c>
      <c r="C7" s="6"/>
      <c r="D7" s="15" t="s">
        <v>6</v>
      </c>
      <c r="E7" s="15">
        <v>4</v>
      </c>
      <c r="F7" s="15">
        <v>5</v>
      </c>
      <c r="G7" s="14">
        <v>6</v>
      </c>
      <c r="L7" s="32"/>
      <c r="U7" s="32"/>
      <c r="V7" s="32"/>
    </row>
    <row r="8" spans="1:22" s="11" customFormat="1" ht="29.25" customHeight="1" x14ac:dyDescent="0.3">
      <c r="A8" s="109"/>
      <c r="B8" s="110" t="s">
        <v>97</v>
      </c>
      <c r="C8" s="110"/>
      <c r="D8" s="111">
        <f>D9+D12+D21+D23+D69</f>
        <v>19624087900</v>
      </c>
      <c r="E8" s="111">
        <f>E9+E12+E21+E23+E69</f>
        <v>9691215950</v>
      </c>
      <c r="F8" s="111">
        <f>F9+F12+F21+F23+F69</f>
        <v>9932871950</v>
      </c>
      <c r="G8" s="109"/>
      <c r="H8" s="121"/>
      <c r="I8" s="121"/>
      <c r="J8" s="39">
        <v>18660000000</v>
      </c>
      <c r="K8" s="39">
        <f>J8-D8</f>
        <v>-964087900</v>
      </c>
      <c r="L8" s="32"/>
      <c r="U8" s="32"/>
      <c r="V8" s="32"/>
    </row>
    <row r="9" spans="1:22" s="13" customFormat="1" ht="29.25" customHeight="1" x14ac:dyDescent="0.3">
      <c r="A9" s="95" t="s">
        <v>15</v>
      </c>
      <c r="B9" s="92" t="s">
        <v>80</v>
      </c>
      <c r="C9" s="93"/>
      <c r="D9" s="94">
        <f>SUM(D10:D11)</f>
        <v>109420000</v>
      </c>
      <c r="E9" s="94">
        <f>SUM(E10:E11)</f>
        <v>54710000</v>
      </c>
      <c r="F9" s="94">
        <f>SUM(F10:F11)</f>
        <v>54710000</v>
      </c>
      <c r="G9" s="93"/>
      <c r="H9" s="122"/>
      <c r="I9" s="122"/>
      <c r="L9" s="34"/>
      <c r="T9" s="11"/>
      <c r="U9" s="34"/>
      <c r="V9" s="34"/>
    </row>
    <row r="10" spans="1:22" s="12" customFormat="1" ht="25.5" customHeight="1" x14ac:dyDescent="0.3">
      <c r="A10" s="44">
        <v>1</v>
      </c>
      <c r="B10" s="45" t="s">
        <v>96</v>
      </c>
      <c r="C10" s="46"/>
      <c r="D10" s="47">
        <f>E10+F10</f>
        <v>7020000</v>
      </c>
      <c r="E10" s="47">
        <v>3510000</v>
      </c>
      <c r="F10" s="47">
        <f>+E10</f>
        <v>3510000</v>
      </c>
      <c r="G10" s="44"/>
      <c r="H10" s="18">
        <v>1</v>
      </c>
      <c r="I10" s="134">
        <f>D10</f>
        <v>7020000</v>
      </c>
      <c r="L10" s="33"/>
      <c r="T10" s="18"/>
      <c r="U10" s="33"/>
      <c r="V10" s="33"/>
    </row>
    <row r="11" spans="1:22" s="12" customFormat="1" ht="36" customHeight="1" x14ac:dyDescent="0.3">
      <c r="A11" s="7">
        <v>2</v>
      </c>
      <c r="B11" s="48" t="s">
        <v>114</v>
      </c>
      <c r="C11" s="9"/>
      <c r="D11" s="16">
        <f>E11+F11</f>
        <v>102400000</v>
      </c>
      <c r="E11" s="16">
        <f>78200000-25200000-1800000</f>
        <v>51200000</v>
      </c>
      <c r="F11" s="16">
        <f>E11</f>
        <v>51200000</v>
      </c>
      <c r="G11" s="7"/>
      <c r="H11" s="18">
        <v>2</v>
      </c>
      <c r="I11" s="18"/>
      <c r="L11" s="33"/>
      <c r="T11" s="18"/>
      <c r="U11" s="33"/>
      <c r="V11" s="33"/>
    </row>
    <row r="12" spans="1:22" s="13" customFormat="1" ht="25.5" customHeight="1" x14ac:dyDescent="0.3">
      <c r="A12" s="36" t="s">
        <v>16</v>
      </c>
      <c r="B12" s="96" t="s">
        <v>81</v>
      </c>
      <c r="C12" s="37"/>
      <c r="D12" s="38">
        <f>SUM(D13:D20)</f>
        <v>3008840000</v>
      </c>
      <c r="E12" s="38">
        <f t="shared" ref="E12:F12" si="0">SUM(E13:E20)</f>
        <v>1548420000</v>
      </c>
      <c r="F12" s="38">
        <f t="shared" si="0"/>
        <v>1460420000</v>
      </c>
      <c r="G12" s="36"/>
      <c r="H12" s="123"/>
      <c r="I12" s="123"/>
      <c r="L12" s="34"/>
      <c r="T12" s="11"/>
      <c r="U12" s="34"/>
      <c r="V12" s="34"/>
    </row>
    <row r="13" spans="1:22" s="12" customFormat="1" ht="32.25" customHeight="1" x14ac:dyDescent="0.3">
      <c r="A13" s="44">
        <v>1</v>
      </c>
      <c r="B13" s="45" t="s">
        <v>70</v>
      </c>
      <c r="C13" s="46"/>
      <c r="D13" s="47">
        <f>E13+F13</f>
        <v>2264300000</v>
      </c>
      <c r="E13" s="47">
        <f>61150000+1071000000</f>
        <v>1132150000</v>
      </c>
      <c r="F13" s="47">
        <f>E13</f>
        <v>1132150000</v>
      </c>
      <c r="G13" s="44"/>
      <c r="H13" s="18">
        <v>1</v>
      </c>
      <c r="I13" s="134">
        <f t="shared" ref="I13:I20" si="1">D13</f>
        <v>2264300000</v>
      </c>
      <c r="L13" s="33"/>
      <c r="T13" s="145" t="s">
        <v>111</v>
      </c>
      <c r="U13" s="33"/>
      <c r="V13" s="33"/>
    </row>
    <row r="14" spans="1:22" s="12" customFormat="1" ht="32.25" customHeight="1" x14ac:dyDescent="0.3">
      <c r="A14" s="24">
        <v>2</v>
      </c>
      <c r="B14" s="25" t="s">
        <v>110</v>
      </c>
      <c r="C14" s="42"/>
      <c r="D14" s="60">
        <f t="shared" ref="D14:D22" si="2">E14+F14</f>
        <v>344000000</v>
      </c>
      <c r="E14" s="26">
        <v>172000000</v>
      </c>
      <c r="F14" s="26">
        <f>+E14</f>
        <v>172000000</v>
      </c>
      <c r="G14" s="24"/>
      <c r="H14" s="18"/>
      <c r="I14" s="134"/>
      <c r="L14" s="33"/>
      <c r="T14" s="145" t="s">
        <v>111</v>
      </c>
      <c r="U14" s="33"/>
      <c r="V14" s="33"/>
    </row>
    <row r="15" spans="1:22" s="91" customFormat="1" ht="41.25" customHeight="1" x14ac:dyDescent="0.3">
      <c r="A15" s="24">
        <v>3</v>
      </c>
      <c r="B15" s="58" t="s">
        <v>98</v>
      </c>
      <c r="C15" s="59"/>
      <c r="D15" s="60">
        <f t="shared" si="2"/>
        <v>50000000</v>
      </c>
      <c r="E15" s="60">
        <v>25000000</v>
      </c>
      <c r="F15" s="60">
        <v>25000000</v>
      </c>
      <c r="G15" s="57"/>
      <c r="H15" s="124">
        <v>1</v>
      </c>
      <c r="I15" s="134">
        <f t="shared" si="1"/>
        <v>50000000</v>
      </c>
      <c r="L15" s="90"/>
      <c r="T15" s="145" t="s">
        <v>111</v>
      </c>
      <c r="U15" s="90"/>
      <c r="V15" s="90"/>
    </row>
    <row r="16" spans="1:22" s="12" customFormat="1" ht="51" customHeight="1" x14ac:dyDescent="0.3">
      <c r="A16" s="24">
        <v>4</v>
      </c>
      <c r="B16" s="48" t="s">
        <v>60</v>
      </c>
      <c r="C16" s="9"/>
      <c r="D16" s="16">
        <f t="shared" si="2"/>
        <v>37900000</v>
      </c>
      <c r="E16" s="16">
        <v>18950000</v>
      </c>
      <c r="F16" s="16">
        <v>18950000</v>
      </c>
      <c r="G16" s="7"/>
      <c r="H16" s="18">
        <v>1</v>
      </c>
      <c r="I16" s="134">
        <f t="shared" si="1"/>
        <v>37900000</v>
      </c>
      <c r="L16" s="33"/>
      <c r="T16" s="18"/>
      <c r="U16" s="33"/>
      <c r="V16" s="33"/>
    </row>
    <row r="17" spans="1:22" s="12" customFormat="1" ht="36.75" customHeight="1" x14ac:dyDescent="0.3">
      <c r="A17" s="24">
        <v>5</v>
      </c>
      <c r="B17" s="48" t="s">
        <v>61</v>
      </c>
      <c r="C17" s="9"/>
      <c r="D17" s="16">
        <f t="shared" si="2"/>
        <v>83160000</v>
      </c>
      <c r="E17" s="16">
        <v>41580000</v>
      </c>
      <c r="F17" s="16">
        <v>41580000</v>
      </c>
      <c r="G17" s="7"/>
      <c r="H17" s="18">
        <v>1</v>
      </c>
      <c r="I17" s="134">
        <f t="shared" si="1"/>
        <v>83160000</v>
      </c>
      <c r="L17" s="33"/>
      <c r="T17" s="18"/>
      <c r="U17" s="33"/>
      <c r="V17" s="33"/>
    </row>
    <row r="18" spans="1:22" s="12" customFormat="1" ht="33.75" customHeight="1" x14ac:dyDescent="0.3">
      <c r="A18" s="24">
        <v>6</v>
      </c>
      <c r="B18" s="48" t="s">
        <v>62</v>
      </c>
      <c r="C18" s="9"/>
      <c r="D18" s="16">
        <f t="shared" si="2"/>
        <v>1080000</v>
      </c>
      <c r="E18" s="16">
        <v>540000</v>
      </c>
      <c r="F18" s="16">
        <v>540000</v>
      </c>
      <c r="G18" s="7"/>
      <c r="H18" s="18">
        <v>1</v>
      </c>
      <c r="I18" s="134">
        <f t="shared" si="1"/>
        <v>1080000</v>
      </c>
      <c r="L18" s="33"/>
      <c r="T18" s="18"/>
      <c r="U18" s="33"/>
      <c r="V18" s="33"/>
    </row>
    <row r="19" spans="1:22" s="12" customFormat="1" ht="41.25" customHeight="1" x14ac:dyDescent="0.3">
      <c r="A19" s="24">
        <v>7</v>
      </c>
      <c r="B19" s="48" t="s">
        <v>63</v>
      </c>
      <c r="C19" s="9"/>
      <c r="D19" s="16">
        <f t="shared" si="2"/>
        <v>140400000</v>
      </c>
      <c r="E19" s="16">
        <v>70200000</v>
      </c>
      <c r="F19" s="16">
        <f>+E19</f>
        <v>70200000</v>
      </c>
      <c r="G19" s="7"/>
      <c r="H19" s="18">
        <v>1</v>
      </c>
      <c r="I19" s="134">
        <f t="shared" si="1"/>
        <v>140400000</v>
      </c>
      <c r="L19" s="33"/>
      <c r="T19" s="145" t="s">
        <v>112</v>
      </c>
      <c r="U19" s="33"/>
      <c r="V19" s="33"/>
    </row>
    <row r="20" spans="1:22" s="12" customFormat="1" ht="39" customHeight="1" x14ac:dyDescent="0.3">
      <c r="A20" s="24">
        <v>8</v>
      </c>
      <c r="B20" s="62" t="s">
        <v>59</v>
      </c>
      <c r="C20" s="54"/>
      <c r="D20" s="55">
        <f t="shared" si="2"/>
        <v>88000000</v>
      </c>
      <c r="E20" s="55">
        <v>88000000</v>
      </c>
      <c r="F20" s="55"/>
      <c r="G20" s="53"/>
      <c r="H20" s="18">
        <v>1</v>
      </c>
      <c r="I20" s="134">
        <f t="shared" si="1"/>
        <v>88000000</v>
      </c>
      <c r="L20" s="33"/>
      <c r="T20" s="18"/>
      <c r="U20" s="33"/>
      <c r="V20" s="33"/>
    </row>
    <row r="21" spans="1:22" s="13" customFormat="1" ht="30" customHeight="1" x14ac:dyDescent="0.3">
      <c r="A21" s="36" t="s">
        <v>19</v>
      </c>
      <c r="B21" s="96" t="s">
        <v>82</v>
      </c>
      <c r="C21" s="37"/>
      <c r="D21" s="38">
        <f>D22</f>
        <v>106000000</v>
      </c>
      <c r="E21" s="38">
        <f t="shared" ref="E21:F21" si="3">E22</f>
        <v>53000000</v>
      </c>
      <c r="F21" s="38">
        <f t="shared" si="3"/>
        <v>53000000</v>
      </c>
      <c r="G21" s="36"/>
      <c r="H21" s="123"/>
      <c r="I21" s="123"/>
      <c r="L21" s="34"/>
      <c r="T21" s="11"/>
      <c r="U21" s="34"/>
      <c r="V21" s="34"/>
    </row>
    <row r="22" spans="1:22" s="12" customFormat="1" ht="54.75" customHeight="1" x14ac:dyDescent="0.3">
      <c r="A22" s="24">
        <v>1</v>
      </c>
      <c r="B22" s="79" t="s">
        <v>64</v>
      </c>
      <c r="C22" s="80"/>
      <c r="D22" s="26">
        <f t="shared" si="2"/>
        <v>106000000</v>
      </c>
      <c r="E22" s="81">
        <v>53000000</v>
      </c>
      <c r="F22" s="81">
        <f>+E22</f>
        <v>53000000</v>
      </c>
      <c r="G22" s="82"/>
      <c r="H22" s="18">
        <v>1</v>
      </c>
      <c r="I22" s="134">
        <f>D22</f>
        <v>106000000</v>
      </c>
      <c r="L22" s="33"/>
      <c r="T22" s="18"/>
      <c r="U22" s="33"/>
      <c r="V22" s="33"/>
    </row>
    <row r="23" spans="1:22" s="11" customFormat="1" ht="32.25" customHeight="1" x14ac:dyDescent="0.3">
      <c r="A23" s="95" t="s">
        <v>83</v>
      </c>
      <c r="B23" s="135" t="s">
        <v>79</v>
      </c>
      <c r="C23" s="98"/>
      <c r="D23" s="99">
        <f>D24+D31</f>
        <v>7297297496</v>
      </c>
      <c r="E23" s="99">
        <f>E24+E31</f>
        <v>3579320748</v>
      </c>
      <c r="F23" s="99">
        <f>F24+F31</f>
        <v>3717976748</v>
      </c>
      <c r="G23" s="95"/>
      <c r="H23" s="123"/>
      <c r="I23" s="123"/>
      <c r="J23" s="39"/>
      <c r="K23" s="39"/>
      <c r="L23" s="32"/>
      <c r="U23" s="32"/>
      <c r="V23" s="32"/>
    </row>
    <row r="24" spans="1:22" s="11" customFormat="1" ht="31.5" customHeight="1" x14ac:dyDescent="0.3">
      <c r="A24" s="105" t="s">
        <v>8</v>
      </c>
      <c r="B24" s="106" t="s">
        <v>84</v>
      </c>
      <c r="C24" s="107"/>
      <c r="D24" s="108">
        <f>SUM(D25:D30)</f>
        <v>1861172000</v>
      </c>
      <c r="E24" s="108">
        <f>SUM(E25:E30)</f>
        <v>861258000</v>
      </c>
      <c r="F24" s="108">
        <f>SUM(F25:F30)</f>
        <v>999914000</v>
      </c>
      <c r="G24" s="105"/>
      <c r="H24" s="125"/>
      <c r="I24" s="125"/>
      <c r="J24" s="39"/>
      <c r="K24" s="39"/>
      <c r="L24" s="32"/>
      <c r="U24" s="32"/>
      <c r="V24" s="32"/>
    </row>
    <row r="25" spans="1:22" s="12" customFormat="1" ht="33" customHeight="1" x14ac:dyDescent="0.3">
      <c r="A25" s="44">
        <v>1</v>
      </c>
      <c r="B25" s="45" t="s">
        <v>107</v>
      </c>
      <c r="C25" s="46"/>
      <c r="D25" s="47">
        <f>E25+F25</f>
        <v>308738000</v>
      </c>
      <c r="E25" s="47">
        <f>150000000+8738000</f>
        <v>158738000</v>
      </c>
      <c r="F25" s="47">
        <v>150000000</v>
      </c>
      <c r="G25" s="44"/>
      <c r="H25" s="18">
        <v>1</v>
      </c>
      <c r="I25" s="134">
        <f>D25</f>
        <v>308738000</v>
      </c>
      <c r="L25" s="33"/>
      <c r="T25" s="18"/>
      <c r="U25" s="33"/>
      <c r="V25" s="33"/>
    </row>
    <row r="26" spans="1:22" s="12" customFormat="1" ht="33" customHeight="1" x14ac:dyDescent="0.3">
      <c r="A26" s="7">
        <v>2</v>
      </c>
      <c r="B26" s="48" t="s">
        <v>108</v>
      </c>
      <c r="C26" s="9"/>
      <c r="D26" s="16">
        <f>E26+F26</f>
        <v>300000000</v>
      </c>
      <c r="E26" s="16">
        <v>150000000</v>
      </c>
      <c r="F26" s="16">
        <f>E26</f>
        <v>150000000</v>
      </c>
      <c r="G26" s="7"/>
      <c r="H26" s="18">
        <v>2</v>
      </c>
      <c r="I26" s="18"/>
      <c r="L26" s="33"/>
      <c r="T26" s="18"/>
      <c r="U26" s="33"/>
      <c r="V26" s="33"/>
    </row>
    <row r="27" spans="1:22" s="91" customFormat="1" ht="47.25" customHeight="1" x14ac:dyDescent="0.3">
      <c r="A27" s="7">
        <v>3</v>
      </c>
      <c r="B27" s="58" t="s">
        <v>72</v>
      </c>
      <c r="C27" s="59"/>
      <c r="D27" s="60">
        <f>E27+F27</f>
        <v>200000000</v>
      </c>
      <c r="E27" s="60">
        <v>200000000</v>
      </c>
      <c r="F27" s="60"/>
      <c r="G27" s="137" t="s">
        <v>74</v>
      </c>
      <c r="H27" s="126">
        <v>1</v>
      </c>
      <c r="I27" s="134">
        <f>D27</f>
        <v>200000000</v>
      </c>
      <c r="L27" s="90"/>
      <c r="T27" s="124"/>
      <c r="U27" s="90"/>
      <c r="V27" s="90"/>
    </row>
    <row r="28" spans="1:22" s="75" customFormat="1" ht="36.75" customHeight="1" x14ac:dyDescent="0.3">
      <c r="A28" s="7">
        <v>4</v>
      </c>
      <c r="B28" s="48" t="s">
        <v>75</v>
      </c>
      <c r="C28" s="9"/>
      <c r="D28" s="16">
        <v>667394000</v>
      </c>
      <c r="E28" s="16">
        <v>150000000</v>
      </c>
      <c r="F28" s="16">
        <f>D28-E28</f>
        <v>517394000</v>
      </c>
      <c r="G28" s="138" t="s">
        <v>76</v>
      </c>
      <c r="H28" s="43"/>
      <c r="I28" s="43"/>
      <c r="L28" s="74"/>
      <c r="T28" s="140"/>
      <c r="U28" s="74"/>
      <c r="V28" s="74"/>
    </row>
    <row r="29" spans="1:22" s="12" customFormat="1" ht="41.25" customHeight="1" x14ac:dyDescent="0.3">
      <c r="A29" s="7">
        <v>5</v>
      </c>
      <c r="B29" s="48" t="s">
        <v>85</v>
      </c>
      <c r="C29" s="9"/>
      <c r="D29" s="16">
        <f>E29+F29</f>
        <v>365040000</v>
      </c>
      <c r="E29" s="16">
        <v>182520000</v>
      </c>
      <c r="F29" s="16">
        <f>E29</f>
        <v>182520000</v>
      </c>
      <c r="G29" s="7"/>
      <c r="H29" s="18">
        <v>1</v>
      </c>
      <c r="I29" s="134">
        <f t="shared" ref="I29:I30" si="4">D29</f>
        <v>365040000</v>
      </c>
      <c r="L29" s="33"/>
      <c r="T29" s="18"/>
      <c r="U29" s="33"/>
      <c r="V29" s="33"/>
    </row>
    <row r="30" spans="1:22" s="75" customFormat="1" ht="25.5" customHeight="1" x14ac:dyDescent="0.3">
      <c r="A30" s="7">
        <v>6</v>
      </c>
      <c r="B30" s="62" t="s">
        <v>58</v>
      </c>
      <c r="C30" s="54"/>
      <c r="D30" s="55">
        <f>E30+F30</f>
        <v>20000000</v>
      </c>
      <c r="E30" s="55">
        <v>20000000</v>
      </c>
      <c r="F30" s="55"/>
      <c r="G30" s="53"/>
      <c r="H30" s="18">
        <v>1</v>
      </c>
      <c r="I30" s="134">
        <f t="shared" si="4"/>
        <v>20000000</v>
      </c>
      <c r="L30" s="74"/>
      <c r="T30" s="140"/>
      <c r="U30" s="74"/>
      <c r="V30" s="74"/>
    </row>
    <row r="31" spans="1:22" s="11" customFormat="1" ht="25.5" customHeight="1" x14ac:dyDescent="0.3">
      <c r="A31" s="21" t="s">
        <v>10</v>
      </c>
      <c r="B31" s="22" t="s">
        <v>109</v>
      </c>
      <c r="C31" s="22"/>
      <c r="D31" s="23">
        <f>D32+D49+D52+D55+D58+D66</f>
        <v>5436125496</v>
      </c>
      <c r="E31" s="23">
        <f>E32+E49+E52+E55+E58+E66</f>
        <v>2718062748</v>
      </c>
      <c r="F31" s="23">
        <f>F32+F49+F52+F55+F58+F66</f>
        <v>2718062748</v>
      </c>
      <c r="G31" s="21"/>
      <c r="H31" s="125"/>
      <c r="I31" s="125"/>
      <c r="L31" s="32"/>
      <c r="U31" s="32"/>
      <c r="V31" s="32"/>
    </row>
    <row r="32" spans="1:22" s="11" customFormat="1" ht="25.5" customHeight="1" x14ac:dyDescent="0.3">
      <c r="A32" s="112" t="s">
        <v>87</v>
      </c>
      <c r="B32" s="113" t="s">
        <v>9</v>
      </c>
      <c r="C32" s="113"/>
      <c r="D32" s="114">
        <f>D33+D48</f>
        <v>3061032858</v>
      </c>
      <c r="E32" s="114">
        <f>E33+E48</f>
        <v>1530516429</v>
      </c>
      <c r="F32" s="114">
        <f>F33+F48</f>
        <v>1530516429</v>
      </c>
      <c r="G32" s="112"/>
      <c r="H32" s="127"/>
      <c r="I32" s="127"/>
      <c r="L32" s="32"/>
      <c r="T32" s="11">
        <f>C33</f>
        <v>18</v>
      </c>
      <c r="U32" s="32">
        <v>40000000</v>
      </c>
      <c r="V32" s="32"/>
    </row>
    <row r="33" spans="1:22" s="13" customFormat="1" ht="34.5" customHeight="1" x14ac:dyDescent="0.3">
      <c r="A33" s="67">
        <v>1</v>
      </c>
      <c r="B33" s="68" t="s">
        <v>3</v>
      </c>
      <c r="C33" s="69">
        <v>18</v>
      </c>
      <c r="D33" s="56">
        <f>SUM(D34:D47)</f>
        <v>2996232858</v>
      </c>
      <c r="E33" s="56">
        <f>SUM(E34:E47)</f>
        <v>1498116429</v>
      </c>
      <c r="F33" s="56">
        <f>SUM(F34:F47)</f>
        <v>1498116429</v>
      </c>
      <c r="G33" s="67"/>
      <c r="H33" s="128"/>
      <c r="I33" s="128"/>
      <c r="L33" s="34"/>
      <c r="T33" s="11">
        <f>C50</f>
        <v>6</v>
      </c>
      <c r="U33" s="34">
        <v>40000000</v>
      </c>
      <c r="V33" s="34"/>
    </row>
    <row r="34" spans="1:22" s="12" customFormat="1" ht="25.5" customHeight="1" x14ac:dyDescent="0.3">
      <c r="A34" s="153" t="s">
        <v>21</v>
      </c>
      <c r="B34" s="154" t="s">
        <v>43</v>
      </c>
      <c r="C34" s="155">
        <v>4</v>
      </c>
      <c r="D34" s="156">
        <f>E34+F34</f>
        <v>136003382</v>
      </c>
      <c r="E34" s="156">
        <f>'[1]CB, CC xã Thanh Sơn'!$T$7+174685</f>
        <v>68001691</v>
      </c>
      <c r="F34" s="156">
        <f>E34</f>
        <v>68001691</v>
      </c>
      <c r="G34" s="153"/>
      <c r="H34" s="124">
        <v>1</v>
      </c>
      <c r="I34" s="134">
        <f t="shared" ref="I34:I44" si="5">D34</f>
        <v>136003382</v>
      </c>
      <c r="K34" s="12">
        <v>41000000</v>
      </c>
      <c r="L34" s="33">
        <f>K34*11%</f>
        <v>4510000</v>
      </c>
      <c r="M34" s="115">
        <f>+K34-L34</f>
        <v>36490000</v>
      </c>
      <c r="N34" s="12">
        <f>+M34*10%</f>
        <v>3649000</v>
      </c>
      <c r="O34" s="115">
        <f>M34-N34</f>
        <v>32841000</v>
      </c>
      <c r="P34" s="115">
        <f>O34/12</f>
        <v>2736750</v>
      </c>
      <c r="T34" s="18">
        <f>C53</f>
        <v>8</v>
      </c>
      <c r="U34" s="34">
        <v>40000000</v>
      </c>
      <c r="V34" s="33"/>
    </row>
    <row r="35" spans="1:22" s="12" customFormat="1" ht="25.5" customHeight="1" x14ac:dyDescent="0.3">
      <c r="A35" s="57" t="s">
        <v>22</v>
      </c>
      <c r="B35" s="58" t="s">
        <v>46</v>
      </c>
      <c r="C35" s="59">
        <v>4</v>
      </c>
      <c r="D35" s="60">
        <f t="shared" ref="D35:D48" si="6">E35+F35</f>
        <v>110028906</v>
      </c>
      <c r="E35" s="60">
        <f>'[1]CB, CC xã Thanh Sơn'!$T$48</f>
        <v>55014453</v>
      </c>
      <c r="F35" s="60">
        <f>E35</f>
        <v>55014453</v>
      </c>
      <c r="G35" s="57"/>
      <c r="H35" s="124">
        <v>1</v>
      </c>
      <c r="I35" s="134">
        <f t="shared" si="5"/>
        <v>110028906</v>
      </c>
      <c r="L35" s="33"/>
      <c r="P35" s="115">
        <f>P34*14</f>
        <v>38314500</v>
      </c>
      <c r="T35" s="18">
        <f>C56</f>
        <v>7</v>
      </c>
      <c r="U35" s="34">
        <v>40000000</v>
      </c>
      <c r="V35" s="33"/>
    </row>
    <row r="36" spans="1:22" s="12" customFormat="1" ht="25.5" customHeight="1" x14ac:dyDescent="0.3">
      <c r="A36" s="57" t="s">
        <v>26</v>
      </c>
      <c r="B36" s="58" t="s">
        <v>44</v>
      </c>
      <c r="C36" s="59">
        <v>6</v>
      </c>
      <c r="D36" s="60">
        <f t="shared" si="6"/>
        <v>140202036</v>
      </c>
      <c r="E36" s="60">
        <f>SUM('[1]CB, CC xã Thanh Sơn'!$T$13:$T$18)</f>
        <v>70101018</v>
      </c>
      <c r="F36" s="60">
        <f t="shared" ref="F36:F43" si="7">E36</f>
        <v>70101018</v>
      </c>
      <c r="G36" s="57"/>
      <c r="H36" s="124">
        <v>1</v>
      </c>
      <c r="I36" s="134">
        <f t="shared" si="5"/>
        <v>140202036</v>
      </c>
      <c r="L36" s="33"/>
      <c r="T36" s="18">
        <f>C65</f>
        <v>18</v>
      </c>
      <c r="U36" s="34">
        <v>40000000</v>
      </c>
      <c r="V36" s="33"/>
    </row>
    <row r="37" spans="1:22" s="12" customFormat="1" ht="25.5" customHeight="1" x14ac:dyDescent="0.3">
      <c r="A37" s="57" t="s">
        <v>27</v>
      </c>
      <c r="B37" s="58" t="s">
        <v>45</v>
      </c>
      <c r="C37" s="59">
        <v>1</v>
      </c>
      <c r="D37" s="60">
        <f t="shared" si="6"/>
        <v>17687124</v>
      </c>
      <c r="E37" s="60">
        <f>'[1]CB, CC xã Thanh Sơn'!$T$19</f>
        <v>8843562</v>
      </c>
      <c r="F37" s="60">
        <f t="shared" si="7"/>
        <v>8843562</v>
      </c>
      <c r="G37" s="57"/>
      <c r="H37" s="124">
        <v>1</v>
      </c>
      <c r="I37" s="134">
        <f t="shared" si="5"/>
        <v>17687124</v>
      </c>
      <c r="L37" s="33"/>
      <c r="T37" s="18">
        <f>C68</f>
        <v>9</v>
      </c>
      <c r="U37" s="34">
        <v>40000000</v>
      </c>
      <c r="V37" s="33"/>
    </row>
    <row r="38" spans="1:22" s="41" customFormat="1" ht="25.5" customHeight="1" x14ac:dyDescent="0.3">
      <c r="A38" s="57" t="s">
        <v>49</v>
      </c>
      <c r="B38" s="50" t="s">
        <v>77</v>
      </c>
      <c r="C38" s="51">
        <v>1</v>
      </c>
      <c r="D38" s="60">
        <f t="shared" si="6"/>
        <v>11500000</v>
      </c>
      <c r="E38" s="52">
        <v>5750000</v>
      </c>
      <c r="F38" s="52">
        <f t="shared" si="7"/>
        <v>5750000</v>
      </c>
      <c r="G38" s="49" t="s">
        <v>57</v>
      </c>
      <c r="H38" s="129">
        <v>1</v>
      </c>
      <c r="I38" s="134">
        <f t="shared" si="5"/>
        <v>11500000</v>
      </c>
      <c r="L38" s="40"/>
      <c r="T38" s="129">
        <f>SUM(T32:T37)</f>
        <v>66</v>
      </c>
      <c r="U38" s="142">
        <f>SUM(U32:U37)</f>
        <v>240000000</v>
      </c>
      <c r="V38" s="40">
        <f>U38/T38/2</f>
        <v>1818181.8181818181</v>
      </c>
    </row>
    <row r="39" spans="1:22" s="13" customFormat="1" ht="25.5" customHeight="1" x14ac:dyDescent="0.3">
      <c r="A39" s="57" t="s">
        <v>50</v>
      </c>
      <c r="B39" s="48" t="s">
        <v>69</v>
      </c>
      <c r="C39" s="9"/>
      <c r="D39" s="16">
        <f>E39+F39</f>
        <v>126360000</v>
      </c>
      <c r="E39" s="16">
        <f>[1]HĐND!$E$97</f>
        <v>63180000</v>
      </c>
      <c r="F39" s="16">
        <f>E39</f>
        <v>63180000</v>
      </c>
      <c r="G39" s="7"/>
      <c r="H39" s="18">
        <v>1</v>
      </c>
      <c r="I39" s="134">
        <f>D39</f>
        <v>126360000</v>
      </c>
      <c r="L39" s="34"/>
      <c r="T39" s="11"/>
      <c r="U39" s="34"/>
      <c r="V39" s="34"/>
    </row>
    <row r="40" spans="1:22" s="12" customFormat="1" ht="25.5" customHeight="1" x14ac:dyDescent="0.3">
      <c r="A40" s="57" t="s">
        <v>53</v>
      </c>
      <c r="B40" s="58" t="s">
        <v>47</v>
      </c>
      <c r="C40" s="59">
        <v>3</v>
      </c>
      <c r="D40" s="60">
        <f t="shared" si="6"/>
        <v>84910410</v>
      </c>
      <c r="E40" s="60">
        <f>'[1]CB, CC xã Thanh Sơn'!$T$44</f>
        <v>42455205</v>
      </c>
      <c r="F40" s="60">
        <f t="shared" si="7"/>
        <v>42455205</v>
      </c>
      <c r="G40" s="57"/>
      <c r="H40" s="124">
        <v>1</v>
      </c>
      <c r="I40" s="134">
        <f t="shared" si="5"/>
        <v>84910410</v>
      </c>
      <c r="L40" s="33"/>
      <c r="T40" s="18"/>
      <c r="U40" s="33"/>
      <c r="V40" s="33"/>
    </row>
    <row r="41" spans="1:22" s="13" customFormat="1" ht="32.25" customHeight="1" x14ac:dyDescent="0.3">
      <c r="A41" s="57" t="s">
        <v>54</v>
      </c>
      <c r="B41" s="48" t="s">
        <v>51</v>
      </c>
      <c r="C41" s="9"/>
      <c r="D41" s="16">
        <f>E41+F41</f>
        <v>397800000</v>
      </c>
      <c r="E41" s="16">
        <f>[1]ANCS!$E$161</f>
        <v>198900000</v>
      </c>
      <c r="F41" s="16">
        <f>E41</f>
        <v>198900000</v>
      </c>
      <c r="G41" s="7"/>
      <c r="H41" s="18">
        <v>1</v>
      </c>
      <c r="I41" s="134">
        <f>D41</f>
        <v>397800000</v>
      </c>
      <c r="L41" s="34"/>
      <c r="T41" s="11"/>
      <c r="U41" s="34"/>
      <c r="V41" s="34"/>
    </row>
    <row r="42" spans="1:22" s="13" customFormat="1" ht="25.5" customHeight="1" x14ac:dyDescent="0.3">
      <c r="A42" s="57" t="s">
        <v>55</v>
      </c>
      <c r="B42" s="48" t="s">
        <v>52</v>
      </c>
      <c r="C42" s="9"/>
      <c r="D42" s="16">
        <f>E42+F42</f>
        <v>133000000</v>
      </c>
      <c r="E42" s="16">
        <f>'[1]Hữu xã'!$E$30</f>
        <v>66500000</v>
      </c>
      <c r="F42" s="16">
        <f>E42</f>
        <v>66500000</v>
      </c>
      <c r="G42" s="7"/>
      <c r="H42" s="18">
        <v>1</v>
      </c>
      <c r="I42" s="134">
        <f>D42</f>
        <v>133000000</v>
      </c>
      <c r="L42" s="34"/>
      <c r="T42" s="11"/>
      <c r="U42" s="34"/>
      <c r="V42" s="34"/>
    </row>
    <row r="43" spans="1:22" s="13" customFormat="1" ht="25.5" customHeight="1" x14ac:dyDescent="0.3">
      <c r="A43" s="57" t="s">
        <v>56</v>
      </c>
      <c r="B43" s="48" t="s">
        <v>48</v>
      </c>
      <c r="C43" s="9"/>
      <c r="D43" s="16">
        <f t="shared" si="6"/>
        <v>874653100</v>
      </c>
      <c r="E43" s="16">
        <f>'[1]không chuyên trách'!$J$6</f>
        <v>437326550</v>
      </c>
      <c r="F43" s="16">
        <f t="shared" si="7"/>
        <v>437326550</v>
      </c>
      <c r="G43" s="7"/>
      <c r="H43" s="18">
        <v>1</v>
      </c>
      <c r="I43" s="134">
        <f t="shared" si="5"/>
        <v>874653100</v>
      </c>
      <c r="L43" s="34"/>
      <c r="T43" s="11"/>
      <c r="U43" s="34"/>
      <c r="V43" s="151">
        <v>437326550</v>
      </c>
    </row>
    <row r="44" spans="1:22" s="148" customFormat="1" ht="25.5" customHeight="1" x14ac:dyDescent="0.3">
      <c r="A44" s="146" t="s">
        <v>125</v>
      </c>
      <c r="B44" s="76" t="s">
        <v>124</v>
      </c>
      <c r="C44" s="119"/>
      <c r="D44" s="120">
        <f>E44+F44</f>
        <v>785218300</v>
      </c>
      <c r="E44" s="120">
        <f>E43-E45</f>
        <v>392609150</v>
      </c>
      <c r="F44" s="120">
        <f>E44</f>
        <v>392609150</v>
      </c>
      <c r="G44" s="118"/>
      <c r="H44" s="5"/>
      <c r="I44" s="147">
        <f t="shared" si="5"/>
        <v>785218300</v>
      </c>
      <c r="L44" s="149"/>
      <c r="T44" s="150"/>
      <c r="U44" s="149"/>
      <c r="V44" s="152">
        <v>392609150</v>
      </c>
    </row>
    <row r="45" spans="1:22" s="148" customFormat="1" ht="25.5" customHeight="1" x14ac:dyDescent="0.3">
      <c r="A45" s="146" t="s">
        <v>125</v>
      </c>
      <c r="B45" s="76" t="s">
        <v>126</v>
      </c>
      <c r="C45" s="119"/>
      <c r="D45" s="120">
        <f t="shared" ref="D45:D47" si="8">E45+F45</f>
        <v>89434800</v>
      </c>
      <c r="E45" s="120">
        <f>E46+E47</f>
        <v>44717400</v>
      </c>
      <c r="F45" s="120">
        <f>F46+F47</f>
        <v>44717400</v>
      </c>
      <c r="G45" s="118"/>
      <c r="H45" s="5"/>
      <c r="I45" s="147"/>
      <c r="L45" s="149"/>
      <c r="T45" s="150"/>
      <c r="U45" s="149"/>
      <c r="V45" s="152"/>
    </row>
    <row r="46" spans="1:22" s="148" customFormat="1" ht="25.5" customHeight="1" x14ac:dyDescent="0.3">
      <c r="A46" s="146" t="s">
        <v>127</v>
      </c>
      <c r="B46" s="76" t="s">
        <v>121</v>
      </c>
      <c r="C46" s="119"/>
      <c r="D46" s="120">
        <f t="shared" si="8"/>
        <v>70200000</v>
      </c>
      <c r="E46" s="120">
        <v>35100000</v>
      </c>
      <c r="F46" s="120">
        <f>+E46</f>
        <v>35100000</v>
      </c>
      <c r="G46" s="118" t="s">
        <v>122</v>
      </c>
      <c r="H46" s="5"/>
      <c r="I46" s="147"/>
      <c r="L46" s="149"/>
      <c r="T46" s="150"/>
      <c r="U46" s="149"/>
      <c r="V46" s="152">
        <v>35100000</v>
      </c>
    </row>
    <row r="47" spans="1:22" s="148" customFormat="1" ht="25.5" customHeight="1" x14ac:dyDescent="0.3">
      <c r="A47" s="146" t="s">
        <v>128</v>
      </c>
      <c r="B47" s="76" t="s">
        <v>123</v>
      </c>
      <c r="C47" s="119"/>
      <c r="D47" s="120">
        <f t="shared" si="8"/>
        <v>19234800</v>
      </c>
      <c r="E47" s="120">
        <v>9617400</v>
      </c>
      <c r="F47" s="120">
        <f>E47</f>
        <v>9617400</v>
      </c>
      <c r="G47" s="118"/>
      <c r="H47" s="5"/>
      <c r="I47" s="147"/>
      <c r="L47" s="149"/>
      <c r="T47" s="150"/>
      <c r="U47" s="149"/>
      <c r="V47" s="152">
        <v>9617400</v>
      </c>
    </row>
    <row r="48" spans="1:22" s="13" customFormat="1" ht="39.75" customHeight="1" x14ac:dyDescent="0.3">
      <c r="A48" s="86">
        <v>2</v>
      </c>
      <c r="B48" s="83" t="s">
        <v>113</v>
      </c>
      <c r="C48" s="84">
        <v>18</v>
      </c>
      <c r="D48" s="85">
        <f t="shared" si="6"/>
        <v>64800000</v>
      </c>
      <c r="E48" s="85">
        <f>C48*1800000</f>
        <v>32400000</v>
      </c>
      <c r="F48" s="85">
        <f>E48</f>
        <v>32400000</v>
      </c>
      <c r="G48" s="86"/>
      <c r="H48" s="11"/>
      <c r="I48" s="11"/>
      <c r="K48" s="13">
        <v>182450000</v>
      </c>
      <c r="L48" s="34">
        <f>+K48/5</f>
        <v>36490000</v>
      </c>
      <c r="M48" s="34">
        <f>+L48/12</f>
        <v>3040833.3333333335</v>
      </c>
      <c r="N48" s="116">
        <f>M48*C48</f>
        <v>54735000</v>
      </c>
      <c r="T48" s="11"/>
      <c r="U48" s="34"/>
      <c r="V48" s="34"/>
    </row>
    <row r="49" spans="1:22" s="13" customFormat="1" ht="31.5" customHeight="1" x14ac:dyDescent="0.3">
      <c r="A49" s="112" t="s">
        <v>88</v>
      </c>
      <c r="B49" s="113" t="s">
        <v>11</v>
      </c>
      <c r="C49" s="113"/>
      <c r="D49" s="114">
        <f>SUM(D50:D51)</f>
        <v>162927342</v>
      </c>
      <c r="E49" s="114">
        <f>SUM(E50:E51)</f>
        <v>81463671</v>
      </c>
      <c r="F49" s="114">
        <f>SUM(F50:F51)</f>
        <v>81463671</v>
      </c>
      <c r="G49" s="112"/>
      <c r="H49" s="127"/>
      <c r="I49" s="127"/>
      <c r="L49" s="34"/>
      <c r="T49" s="11"/>
      <c r="U49" s="34"/>
      <c r="V49" s="34"/>
    </row>
    <row r="50" spans="1:22" s="12" customFormat="1" ht="27" customHeight="1" x14ac:dyDescent="0.3">
      <c r="A50" s="24">
        <v>1</v>
      </c>
      <c r="B50" s="25" t="s">
        <v>3</v>
      </c>
      <c r="C50" s="42">
        <v>6</v>
      </c>
      <c r="D50" s="26">
        <f>E50+F50</f>
        <v>141327342</v>
      </c>
      <c r="E50" s="26">
        <f>'[1]CB, CC xã Thanh Sơn'!$T$37</f>
        <v>70663671</v>
      </c>
      <c r="F50" s="26">
        <f>E50</f>
        <v>70663671</v>
      </c>
      <c r="G50" s="24"/>
      <c r="H50" s="18">
        <v>1</v>
      </c>
      <c r="I50" s="134">
        <f>D50</f>
        <v>141327342</v>
      </c>
      <c r="L50" s="33"/>
      <c r="T50" s="18"/>
      <c r="U50" s="33"/>
      <c r="V50" s="33"/>
    </row>
    <row r="51" spans="1:22" s="12" customFormat="1" ht="39.75" customHeight="1" x14ac:dyDescent="0.3">
      <c r="A51" s="7">
        <v>2</v>
      </c>
      <c r="B51" s="48" t="s">
        <v>113</v>
      </c>
      <c r="C51" s="9">
        <v>6</v>
      </c>
      <c r="D51" s="16">
        <f t="shared" ref="D51" si="9">E51+F51</f>
        <v>21600000</v>
      </c>
      <c r="E51" s="16">
        <f>C51*1800000</f>
        <v>10800000</v>
      </c>
      <c r="F51" s="16">
        <f>+E51</f>
        <v>10800000</v>
      </c>
      <c r="G51" s="7"/>
      <c r="H51" s="18"/>
      <c r="I51" s="18"/>
      <c r="K51" s="12">
        <v>182450000</v>
      </c>
      <c r="L51" s="33">
        <f>+K51/5</f>
        <v>36490000</v>
      </c>
      <c r="M51" s="33">
        <f>+L51/12</f>
        <v>3040833.3333333335</v>
      </c>
      <c r="N51" s="115">
        <f>M51*C51</f>
        <v>18245000</v>
      </c>
      <c r="T51" s="18"/>
      <c r="U51" s="33"/>
      <c r="V51" s="33"/>
    </row>
    <row r="52" spans="1:22" s="4" customFormat="1" ht="25.5" customHeight="1" x14ac:dyDescent="0.3">
      <c r="A52" s="112" t="s">
        <v>89</v>
      </c>
      <c r="B52" s="113" t="s">
        <v>13</v>
      </c>
      <c r="C52" s="113"/>
      <c r="D52" s="114">
        <f>SUM(D53:D54)</f>
        <v>237479796</v>
      </c>
      <c r="E52" s="114">
        <f>SUM(E53:E54)</f>
        <v>118739898</v>
      </c>
      <c r="F52" s="114">
        <f>SUM(F53:F54)</f>
        <v>118739898</v>
      </c>
      <c r="G52" s="112"/>
      <c r="H52" s="127"/>
      <c r="I52" s="127"/>
      <c r="L52" s="31"/>
      <c r="U52" s="31"/>
      <c r="V52" s="31"/>
    </row>
    <row r="53" spans="1:22" s="12" customFormat="1" ht="25.5" customHeight="1" x14ac:dyDescent="0.3">
      <c r="A53" s="44">
        <v>1</v>
      </c>
      <c r="B53" s="45" t="s">
        <v>3</v>
      </c>
      <c r="C53" s="46">
        <v>8</v>
      </c>
      <c r="D53" s="47">
        <f>E53+F53</f>
        <v>208679796</v>
      </c>
      <c r="E53" s="47">
        <f>'[1]CB, CC xã Thanh Sơn'!$T$20</f>
        <v>104339898</v>
      </c>
      <c r="F53" s="47">
        <f>E53</f>
        <v>104339898</v>
      </c>
      <c r="G53" s="44"/>
      <c r="H53" s="18">
        <v>1</v>
      </c>
      <c r="I53" s="134">
        <f>D53</f>
        <v>208679796</v>
      </c>
      <c r="L53" s="33"/>
      <c r="T53" s="18"/>
      <c r="U53" s="33"/>
      <c r="V53" s="33"/>
    </row>
    <row r="54" spans="1:22" s="12" customFormat="1" ht="39.75" customHeight="1" x14ac:dyDescent="0.3">
      <c r="A54" s="7">
        <v>2</v>
      </c>
      <c r="B54" s="48" t="s">
        <v>113</v>
      </c>
      <c r="C54" s="9">
        <v>8</v>
      </c>
      <c r="D54" s="16">
        <f t="shared" ref="D54" si="10">E54+F54</f>
        <v>28800000</v>
      </c>
      <c r="E54" s="16">
        <f>C54*1800000</f>
        <v>14400000</v>
      </c>
      <c r="F54" s="16">
        <f>+E54</f>
        <v>14400000</v>
      </c>
      <c r="G54" s="7"/>
      <c r="H54" s="18"/>
      <c r="I54" s="18"/>
      <c r="K54" s="12">
        <v>182450000</v>
      </c>
      <c r="L54" s="33">
        <f>+K54/5</f>
        <v>36490000</v>
      </c>
      <c r="M54" s="33">
        <f>+L54/12</f>
        <v>3040833.3333333335</v>
      </c>
      <c r="N54" s="115">
        <f>M54*C54</f>
        <v>24326666.666666668</v>
      </c>
      <c r="T54" s="18"/>
      <c r="U54" s="33"/>
      <c r="V54" s="33"/>
    </row>
    <row r="55" spans="1:22" s="10" customFormat="1" ht="25.5" customHeight="1" x14ac:dyDescent="0.3">
      <c r="A55" s="112" t="s">
        <v>90</v>
      </c>
      <c r="B55" s="113" t="s">
        <v>14</v>
      </c>
      <c r="C55" s="113"/>
      <c r="D55" s="114">
        <f>SUM(D56:D57)</f>
        <v>198818874</v>
      </c>
      <c r="E55" s="114">
        <f>SUM(E56:E57)</f>
        <v>99409437</v>
      </c>
      <c r="F55" s="114">
        <f>SUM(F56:F57)</f>
        <v>99409437</v>
      </c>
      <c r="G55" s="112"/>
      <c r="H55" s="127"/>
      <c r="I55" s="127"/>
      <c r="L55" s="30"/>
      <c r="T55" s="4"/>
      <c r="U55" s="30"/>
      <c r="V55" s="30"/>
    </row>
    <row r="56" spans="1:22" s="12" customFormat="1" ht="25.5" customHeight="1" x14ac:dyDescent="0.3">
      <c r="A56" s="44">
        <v>1</v>
      </c>
      <c r="B56" s="45" t="s">
        <v>3</v>
      </c>
      <c r="C56" s="46">
        <v>7</v>
      </c>
      <c r="D56" s="47">
        <f>E56+F56</f>
        <v>173618874</v>
      </c>
      <c r="E56" s="47">
        <f>'[1]CB, CC xã Thanh Sơn'!$T$29</f>
        <v>86809437</v>
      </c>
      <c r="F56" s="47">
        <f>E56</f>
        <v>86809437</v>
      </c>
      <c r="G56" s="44"/>
      <c r="H56" s="18">
        <v>1</v>
      </c>
      <c r="I56" s="134">
        <f>D56</f>
        <v>173618874</v>
      </c>
      <c r="L56" s="33"/>
      <c r="T56" s="18"/>
      <c r="U56" s="33"/>
      <c r="V56" s="33"/>
    </row>
    <row r="57" spans="1:22" s="12" customFormat="1" ht="39.75" customHeight="1" x14ac:dyDescent="0.3">
      <c r="A57" s="7">
        <v>2</v>
      </c>
      <c r="B57" s="48" t="s">
        <v>113</v>
      </c>
      <c r="C57" s="9">
        <v>7</v>
      </c>
      <c r="D57" s="16">
        <f t="shared" ref="D57" si="11">E57+F57</f>
        <v>25200000</v>
      </c>
      <c r="E57" s="16">
        <f>C57*1800000</f>
        <v>12600000</v>
      </c>
      <c r="F57" s="16">
        <f>+E57</f>
        <v>12600000</v>
      </c>
      <c r="G57" s="7"/>
      <c r="H57" s="18"/>
      <c r="I57" s="18"/>
      <c r="K57" s="12">
        <v>182450000</v>
      </c>
      <c r="L57" s="33">
        <f>+K57/5</f>
        <v>36490000</v>
      </c>
      <c r="M57" s="33">
        <f>+L57/12</f>
        <v>3040833.3333333335</v>
      </c>
      <c r="N57" s="115">
        <f>M57*C57</f>
        <v>21285833.333333336</v>
      </c>
      <c r="T57" s="18"/>
      <c r="U57" s="33"/>
      <c r="V57" s="33"/>
    </row>
    <row r="58" spans="1:22" s="10" customFormat="1" ht="25.5" customHeight="1" x14ac:dyDescent="0.3">
      <c r="A58" s="112" t="s">
        <v>91</v>
      </c>
      <c r="B58" s="113" t="s">
        <v>17</v>
      </c>
      <c r="C58" s="113"/>
      <c r="D58" s="114">
        <f>D59+D65</f>
        <v>1523411622</v>
      </c>
      <c r="E58" s="114">
        <f>E59+E65</f>
        <v>761705811</v>
      </c>
      <c r="F58" s="114">
        <f>F59+F65</f>
        <v>761705811</v>
      </c>
      <c r="G58" s="112"/>
      <c r="H58" s="127"/>
      <c r="I58" s="127"/>
      <c r="L58" s="30"/>
      <c r="T58" s="4"/>
      <c r="U58" s="30"/>
      <c r="V58" s="30"/>
    </row>
    <row r="59" spans="1:22" s="10" customFormat="1" ht="25.5" customHeight="1" x14ac:dyDescent="0.3">
      <c r="A59" s="70">
        <v>1</v>
      </c>
      <c r="B59" s="71" t="s">
        <v>3</v>
      </c>
      <c r="C59" s="72"/>
      <c r="D59" s="73">
        <f>SUM(D60:D64)</f>
        <v>1458611622</v>
      </c>
      <c r="E59" s="73">
        <f>SUM(E60:E64)</f>
        <v>729305811</v>
      </c>
      <c r="F59" s="73">
        <f>SUM(F60:F64)</f>
        <v>729305811</v>
      </c>
      <c r="G59" s="70"/>
      <c r="H59" s="11"/>
      <c r="I59" s="11"/>
      <c r="L59" s="30"/>
      <c r="T59" s="4"/>
      <c r="U59" s="30"/>
      <c r="V59" s="30"/>
    </row>
    <row r="60" spans="1:22" s="17" customFormat="1" ht="25.5" customHeight="1" x14ac:dyDescent="0.3">
      <c r="A60" s="118" t="s">
        <v>21</v>
      </c>
      <c r="B60" s="76" t="s">
        <v>65</v>
      </c>
      <c r="C60" s="119">
        <v>2</v>
      </c>
      <c r="D60" s="120">
        <f>E60+F60</f>
        <v>112689251.99999997</v>
      </c>
      <c r="E60" s="120">
        <f>+'[2]Đảng ủy xã Thanh Sơn'!$U$7</f>
        <v>56344625.999999985</v>
      </c>
      <c r="F60" s="120">
        <f>E60</f>
        <v>56344625.999999985</v>
      </c>
      <c r="G60" s="118"/>
      <c r="H60" s="5">
        <v>1</v>
      </c>
      <c r="I60" s="134">
        <f t="shared" ref="I60:I64" si="12">D60</f>
        <v>112689251.99999997</v>
      </c>
      <c r="L60" s="35"/>
      <c r="T60" s="141"/>
      <c r="U60" s="35"/>
      <c r="V60" s="35"/>
    </row>
    <row r="61" spans="1:22" s="17" customFormat="1" ht="25.5" customHeight="1" x14ac:dyDescent="0.3">
      <c r="A61" s="118" t="s">
        <v>22</v>
      </c>
      <c r="B61" s="76" t="s">
        <v>66</v>
      </c>
      <c r="C61" s="119">
        <v>6</v>
      </c>
      <c r="D61" s="120">
        <f t="shared" ref="D61:D65" si="13">E61+F61</f>
        <v>130696722</v>
      </c>
      <c r="E61" s="120">
        <f>'[2]Đảng ủy xã Thanh Sơn'!$U$10</f>
        <v>65348361</v>
      </c>
      <c r="F61" s="120">
        <f t="shared" ref="F61:F63" si="14">E61</f>
        <v>65348361</v>
      </c>
      <c r="G61" s="118"/>
      <c r="H61" s="5">
        <v>1</v>
      </c>
      <c r="I61" s="134">
        <f t="shared" si="12"/>
        <v>130696722</v>
      </c>
      <c r="L61" s="35"/>
      <c r="T61" s="141"/>
      <c r="U61" s="35"/>
      <c r="V61" s="35"/>
    </row>
    <row r="62" spans="1:22" s="17" customFormat="1" ht="25.5" customHeight="1" x14ac:dyDescent="0.3">
      <c r="A62" s="118" t="s">
        <v>26</v>
      </c>
      <c r="B62" s="76" t="s">
        <v>67</v>
      </c>
      <c r="C62" s="119">
        <v>5</v>
      </c>
      <c r="D62" s="120">
        <f t="shared" si="13"/>
        <v>166817664</v>
      </c>
      <c r="E62" s="120">
        <f>'[2]Đảng ủy xã Thanh Sơn'!$U$17</f>
        <v>83408832</v>
      </c>
      <c r="F62" s="120">
        <f t="shared" si="14"/>
        <v>83408832</v>
      </c>
      <c r="G62" s="118"/>
      <c r="H62" s="5">
        <v>1</v>
      </c>
      <c r="I62" s="134">
        <f t="shared" si="12"/>
        <v>166817664</v>
      </c>
      <c r="L62" s="35"/>
      <c r="T62" s="141"/>
      <c r="U62" s="35"/>
      <c r="V62" s="35"/>
    </row>
    <row r="63" spans="1:22" s="17" customFormat="1" ht="25.5" customHeight="1" x14ac:dyDescent="0.3">
      <c r="A63" s="118" t="s">
        <v>27</v>
      </c>
      <c r="B63" s="76" t="s">
        <v>68</v>
      </c>
      <c r="C63" s="119">
        <v>5</v>
      </c>
      <c r="D63" s="120">
        <f t="shared" si="13"/>
        <v>146291184</v>
      </c>
      <c r="E63" s="120">
        <f>'[2]Đảng ủy xã Thanh Sơn'!$U$23</f>
        <v>73145592</v>
      </c>
      <c r="F63" s="120">
        <f t="shared" si="14"/>
        <v>73145592</v>
      </c>
      <c r="G63" s="118"/>
      <c r="H63" s="5">
        <v>1</v>
      </c>
      <c r="I63" s="134">
        <f t="shared" si="12"/>
        <v>146291184</v>
      </c>
      <c r="L63" s="35"/>
      <c r="T63" s="141"/>
      <c r="U63" s="35"/>
      <c r="V63" s="35"/>
    </row>
    <row r="64" spans="1:22" s="17" customFormat="1" ht="25.5" customHeight="1" x14ac:dyDescent="0.3">
      <c r="A64" s="118" t="s">
        <v>49</v>
      </c>
      <c r="B64" s="76" t="s">
        <v>71</v>
      </c>
      <c r="C64" s="119"/>
      <c r="D64" s="120">
        <f t="shared" si="13"/>
        <v>902116800</v>
      </c>
      <c r="E64" s="120">
        <f>'[3]không chuyên trách Đảng'!$L$160</f>
        <v>451058400</v>
      </c>
      <c r="F64" s="120">
        <f>E64</f>
        <v>451058400</v>
      </c>
      <c r="G64" s="118"/>
      <c r="H64" s="5">
        <v>1</v>
      </c>
      <c r="I64" s="134">
        <f t="shared" si="12"/>
        <v>902116800</v>
      </c>
      <c r="L64" s="35"/>
      <c r="T64" s="141"/>
      <c r="U64" s="35"/>
      <c r="V64" s="35"/>
    </row>
    <row r="65" spans="1:22" s="12" customFormat="1" ht="39.75" customHeight="1" x14ac:dyDescent="0.3">
      <c r="A65" s="7">
        <v>2</v>
      </c>
      <c r="B65" s="48" t="s">
        <v>113</v>
      </c>
      <c r="C65" s="9">
        <v>18</v>
      </c>
      <c r="D65" s="16">
        <f t="shared" si="13"/>
        <v>64800000</v>
      </c>
      <c r="E65" s="16">
        <f>C65*1800000</f>
        <v>32400000</v>
      </c>
      <c r="F65" s="16">
        <f>+E65</f>
        <v>32400000</v>
      </c>
      <c r="G65" s="7"/>
      <c r="H65" s="18"/>
      <c r="I65" s="18"/>
      <c r="K65" s="12">
        <v>182450000</v>
      </c>
      <c r="L65" s="33">
        <f>+K65/5</f>
        <v>36490000</v>
      </c>
      <c r="M65" s="33">
        <f>+L65/12</f>
        <v>3040833.3333333335</v>
      </c>
      <c r="N65" s="115">
        <f>M65*C65</f>
        <v>54735000</v>
      </c>
      <c r="T65" s="18"/>
      <c r="U65" s="33"/>
      <c r="V65" s="33"/>
    </row>
    <row r="66" spans="1:22" s="10" customFormat="1" ht="25.5" customHeight="1" x14ac:dyDescent="0.3">
      <c r="A66" s="112" t="s">
        <v>92</v>
      </c>
      <c r="B66" s="113" t="s">
        <v>18</v>
      </c>
      <c r="C66" s="113"/>
      <c r="D66" s="114">
        <f>SUM(D67:D68)</f>
        <v>252455004</v>
      </c>
      <c r="E66" s="114">
        <f>SUM(E67:E68)</f>
        <v>126227502</v>
      </c>
      <c r="F66" s="114">
        <f t="shared" ref="F66" si="15">SUM(F67:F68)</f>
        <v>126227502</v>
      </c>
      <c r="G66" s="112"/>
      <c r="H66" s="127"/>
      <c r="I66" s="127"/>
      <c r="L66" s="30"/>
      <c r="T66" s="4"/>
      <c r="U66" s="30"/>
      <c r="V66" s="30"/>
    </row>
    <row r="67" spans="1:22" ht="30" customHeight="1" x14ac:dyDescent="0.3">
      <c r="A67" s="24">
        <v>1</v>
      </c>
      <c r="B67" s="25" t="s">
        <v>3</v>
      </c>
      <c r="C67" s="42">
        <v>9</v>
      </c>
      <c r="D67" s="26">
        <f>E67+F67</f>
        <v>220055004</v>
      </c>
      <c r="E67" s="26">
        <f>'[2]Đảng ủy xã Thanh Sơn'!$U$29</f>
        <v>110027502</v>
      </c>
      <c r="F67" s="26">
        <f>E67</f>
        <v>110027502</v>
      </c>
      <c r="G67" s="24"/>
      <c r="H67" s="18">
        <v>1</v>
      </c>
      <c r="I67" s="134">
        <f>D67</f>
        <v>220055004</v>
      </c>
    </row>
    <row r="68" spans="1:22" s="12" customFormat="1" ht="39.75" customHeight="1" x14ac:dyDescent="0.3">
      <c r="A68" s="7">
        <v>2</v>
      </c>
      <c r="B68" s="48" t="s">
        <v>113</v>
      </c>
      <c r="C68" s="9">
        <v>9</v>
      </c>
      <c r="D68" s="16">
        <f t="shared" ref="D68" si="16">E68+F68</f>
        <v>32400000</v>
      </c>
      <c r="E68" s="16">
        <f>C68*1800000</f>
        <v>16200000</v>
      </c>
      <c r="F68" s="16">
        <f>+E68</f>
        <v>16200000</v>
      </c>
      <c r="G68" s="7"/>
      <c r="H68" s="18"/>
      <c r="I68" s="18"/>
      <c r="K68" s="12">
        <v>182450000</v>
      </c>
      <c r="L68" s="33">
        <f>+K68/5</f>
        <v>36490000</v>
      </c>
      <c r="M68" s="33">
        <f>+L68/12</f>
        <v>3040833.3333333335</v>
      </c>
      <c r="N68" s="115">
        <f>M68*C68</f>
        <v>27367500</v>
      </c>
      <c r="T68" s="18"/>
      <c r="U68" s="33"/>
      <c r="V68" s="33"/>
    </row>
    <row r="69" spans="1:22" s="10" customFormat="1" ht="34.5" customHeight="1" x14ac:dyDescent="0.3">
      <c r="A69" s="36" t="s">
        <v>93</v>
      </c>
      <c r="B69" s="37" t="s">
        <v>94</v>
      </c>
      <c r="C69" s="37"/>
      <c r="D69" s="38">
        <f>D70+D83+D96</f>
        <v>9102530404</v>
      </c>
      <c r="E69" s="38">
        <f t="shared" ref="E69:F69" si="17">E70+E83+E96</f>
        <v>4455765202</v>
      </c>
      <c r="F69" s="38">
        <f t="shared" si="17"/>
        <v>4646765202</v>
      </c>
      <c r="G69" s="36"/>
      <c r="H69" s="123"/>
      <c r="I69" s="123"/>
      <c r="L69" s="30"/>
      <c r="T69" s="4"/>
      <c r="U69" s="30"/>
      <c r="V69" s="30"/>
    </row>
    <row r="70" spans="1:22" s="10" customFormat="1" ht="25.5" customHeight="1" x14ac:dyDescent="0.3">
      <c r="A70" s="21" t="s">
        <v>8</v>
      </c>
      <c r="B70" s="22" t="s">
        <v>29</v>
      </c>
      <c r="C70" s="22">
        <f>C72+C75+C78+C81</f>
        <v>98</v>
      </c>
      <c r="D70" s="23">
        <f>D71+D74+D77+D80</f>
        <v>2950527594</v>
      </c>
      <c r="E70" s="23">
        <f t="shared" ref="E70:F70" si="18">E71+E74+E77+E80</f>
        <v>1445263797</v>
      </c>
      <c r="F70" s="23">
        <f t="shared" si="18"/>
        <v>1505263797</v>
      </c>
      <c r="G70" s="21"/>
      <c r="H70" s="125"/>
      <c r="I70" s="125"/>
      <c r="L70" s="30"/>
      <c r="T70" s="4"/>
      <c r="U70" s="30"/>
      <c r="V70" s="30"/>
    </row>
    <row r="71" spans="1:22" s="10" customFormat="1" ht="25.5" customHeight="1" x14ac:dyDescent="0.3">
      <c r="A71" s="14">
        <v>1</v>
      </c>
      <c r="B71" s="97" t="s">
        <v>20</v>
      </c>
      <c r="C71" s="6"/>
      <c r="D71" s="20">
        <f>D72+D73</f>
        <v>839722534</v>
      </c>
      <c r="E71" s="20">
        <f t="shared" ref="E71:F71" si="19">E72+E73</f>
        <v>412361267</v>
      </c>
      <c r="F71" s="20">
        <f t="shared" si="19"/>
        <v>427361267</v>
      </c>
      <c r="G71" s="14"/>
      <c r="H71" s="11"/>
      <c r="I71" s="11"/>
      <c r="L71" s="30"/>
      <c r="T71" s="4"/>
      <c r="U71" s="30"/>
      <c r="V71" s="30"/>
    </row>
    <row r="72" spans="1:22" s="75" customFormat="1" ht="25.5" customHeight="1" x14ac:dyDescent="0.3">
      <c r="A72" s="24"/>
      <c r="B72" s="25" t="s">
        <v>3</v>
      </c>
      <c r="C72" s="42">
        <v>29</v>
      </c>
      <c r="D72" s="26">
        <f>SUM(E72:F72)</f>
        <v>784722534</v>
      </c>
      <c r="E72" s="26">
        <v>392361267</v>
      </c>
      <c r="F72" s="26">
        <f>E72</f>
        <v>392361267</v>
      </c>
      <c r="G72" s="24"/>
      <c r="H72" s="18">
        <v>1</v>
      </c>
      <c r="I72" s="134">
        <f>D72</f>
        <v>784722534</v>
      </c>
      <c r="J72" s="75">
        <v>37000000</v>
      </c>
      <c r="K72" s="75">
        <f>+J72*11%</f>
        <v>4070000</v>
      </c>
      <c r="L72" s="74">
        <f>+J72-K72</f>
        <v>32930000</v>
      </c>
      <c r="M72" s="74">
        <v>2744000</v>
      </c>
      <c r="T72" s="140"/>
      <c r="U72" s="74"/>
      <c r="V72" s="74"/>
    </row>
    <row r="73" spans="1:22" s="12" customFormat="1" ht="39.75" customHeight="1" x14ac:dyDescent="0.3">
      <c r="A73" s="7"/>
      <c r="B73" s="48" t="s">
        <v>105</v>
      </c>
      <c r="C73" s="9">
        <v>18</v>
      </c>
      <c r="D73" s="16">
        <f t="shared" ref="D73" si="20">E73+F73</f>
        <v>55000000</v>
      </c>
      <c r="E73" s="16">
        <v>20000000</v>
      </c>
      <c r="F73" s="16">
        <v>35000000</v>
      </c>
      <c r="G73" s="136" t="s">
        <v>106</v>
      </c>
      <c r="H73" s="18"/>
      <c r="I73" s="18"/>
      <c r="K73" s="12">
        <v>182450000</v>
      </c>
      <c r="L73" s="33">
        <f>+K73/5</f>
        <v>36490000</v>
      </c>
      <c r="M73" s="33">
        <f>+L73/12</f>
        <v>3040833.3333333335</v>
      </c>
      <c r="N73" s="115">
        <f>M73*C73</f>
        <v>54735000</v>
      </c>
      <c r="T73" s="18" t="s">
        <v>112</v>
      </c>
      <c r="U73" s="33"/>
      <c r="V73" s="33"/>
    </row>
    <row r="74" spans="1:22" s="10" customFormat="1" ht="25.5" customHeight="1" x14ac:dyDescent="0.3">
      <c r="A74" s="14">
        <v>2</v>
      </c>
      <c r="B74" s="97" t="s">
        <v>23</v>
      </c>
      <c r="C74" s="6"/>
      <c r="D74" s="20">
        <f>D75+D76</f>
        <v>510333500</v>
      </c>
      <c r="E74" s="20">
        <f t="shared" ref="E74:F74" si="21">E75+E76</f>
        <v>247666750</v>
      </c>
      <c r="F74" s="20">
        <f t="shared" si="21"/>
        <v>262666750</v>
      </c>
      <c r="G74" s="102"/>
      <c r="H74" s="131"/>
      <c r="I74" s="131"/>
      <c r="L74" s="30"/>
      <c r="T74" s="4"/>
      <c r="U74" s="30"/>
      <c r="V74" s="30"/>
    </row>
    <row r="75" spans="1:22" s="75" customFormat="1" ht="25.5" customHeight="1" x14ac:dyDescent="0.3">
      <c r="A75" s="24"/>
      <c r="B75" s="25" t="s">
        <v>3</v>
      </c>
      <c r="C75" s="42">
        <v>17</v>
      </c>
      <c r="D75" s="26">
        <f>SUM(E75:F75)</f>
        <v>455333500</v>
      </c>
      <c r="E75" s="26">
        <v>227666750</v>
      </c>
      <c r="F75" s="26">
        <f>E75</f>
        <v>227666750</v>
      </c>
      <c r="G75" s="103"/>
      <c r="H75" s="132">
        <v>1</v>
      </c>
      <c r="I75" s="134">
        <f>D75</f>
        <v>455333500</v>
      </c>
      <c r="L75" s="74"/>
      <c r="T75" s="140"/>
      <c r="U75" s="74"/>
      <c r="V75" s="74"/>
    </row>
    <row r="76" spans="1:22" s="12" customFormat="1" ht="39.75" customHeight="1" x14ac:dyDescent="0.3">
      <c r="A76" s="7"/>
      <c r="B76" s="48" t="s">
        <v>105</v>
      </c>
      <c r="C76" s="9">
        <v>18</v>
      </c>
      <c r="D76" s="16">
        <f t="shared" ref="D76" si="22">E76+F76</f>
        <v>55000000</v>
      </c>
      <c r="E76" s="16">
        <v>20000000</v>
      </c>
      <c r="F76" s="16">
        <v>35000000</v>
      </c>
      <c r="G76" s="136"/>
      <c r="H76" s="18"/>
      <c r="I76" s="18"/>
      <c r="K76" s="12">
        <v>182450000</v>
      </c>
      <c r="L76" s="33">
        <f>+K76/5</f>
        <v>36490000</v>
      </c>
      <c r="M76" s="33">
        <f>+L76/12</f>
        <v>3040833.3333333335</v>
      </c>
      <c r="N76" s="115">
        <f>M76*C76</f>
        <v>54735000</v>
      </c>
      <c r="T76" s="18" t="s">
        <v>112</v>
      </c>
      <c r="U76" s="33"/>
      <c r="V76" s="33"/>
    </row>
    <row r="77" spans="1:22" s="10" customFormat="1" ht="25.5" customHeight="1" x14ac:dyDescent="0.3">
      <c r="A77" s="14">
        <v>3</v>
      </c>
      <c r="B77" s="97" t="s">
        <v>24</v>
      </c>
      <c r="C77" s="6"/>
      <c r="D77" s="20">
        <f>D78+D79</f>
        <v>714421806</v>
      </c>
      <c r="E77" s="20">
        <f t="shared" ref="E77:F77" si="23">E78+E79</f>
        <v>349710903</v>
      </c>
      <c r="F77" s="20">
        <f t="shared" si="23"/>
        <v>364710903</v>
      </c>
      <c r="G77" s="102"/>
      <c r="H77" s="131"/>
      <c r="I77" s="131"/>
      <c r="L77" s="30"/>
      <c r="T77" s="4"/>
      <c r="U77" s="30"/>
      <c r="V77" s="30"/>
    </row>
    <row r="78" spans="1:22" s="75" customFormat="1" ht="25.5" customHeight="1" x14ac:dyDescent="0.3">
      <c r="A78" s="24"/>
      <c r="B78" s="25" t="s">
        <v>3</v>
      </c>
      <c r="C78" s="42">
        <v>20</v>
      </c>
      <c r="D78" s="26">
        <f>SUM(E78:F78)</f>
        <v>659421806</v>
      </c>
      <c r="E78" s="26">
        <v>329710903</v>
      </c>
      <c r="F78" s="26">
        <f>E78</f>
        <v>329710903</v>
      </c>
      <c r="G78" s="103"/>
      <c r="H78" s="132">
        <v>1</v>
      </c>
      <c r="I78" s="134">
        <f>D78</f>
        <v>659421806</v>
      </c>
      <c r="L78" s="74"/>
      <c r="T78" s="140"/>
      <c r="U78" s="74"/>
      <c r="V78" s="74"/>
    </row>
    <row r="79" spans="1:22" s="12" customFormat="1" ht="39.75" customHeight="1" x14ac:dyDescent="0.3">
      <c r="A79" s="7"/>
      <c r="B79" s="48" t="s">
        <v>105</v>
      </c>
      <c r="C79" s="9">
        <v>18</v>
      </c>
      <c r="D79" s="16">
        <f t="shared" ref="D79" si="24">E79+F79</f>
        <v>55000000</v>
      </c>
      <c r="E79" s="16">
        <v>20000000</v>
      </c>
      <c r="F79" s="16">
        <v>35000000</v>
      </c>
      <c r="G79" s="136"/>
      <c r="H79" s="18"/>
      <c r="I79" s="18"/>
      <c r="K79" s="12">
        <v>182450000</v>
      </c>
      <c r="L79" s="33">
        <f>+K79/5</f>
        <v>36490000</v>
      </c>
      <c r="M79" s="33">
        <f>+L79/12</f>
        <v>3040833.3333333335</v>
      </c>
      <c r="N79" s="115">
        <f>M79*C79</f>
        <v>54735000</v>
      </c>
      <c r="T79" s="18" t="s">
        <v>112</v>
      </c>
      <c r="U79" s="33"/>
      <c r="V79" s="33"/>
    </row>
    <row r="80" spans="1:22" s="10" customFormat="1" ht="25.5" customHeight="1" x14ac:dyDescent="0.3">
      <c r="A80" s="14">
        <v>4</v>
      </c>
      <c r="B80" s="97" t="s">
        <v>25</v>
      </c>
      <c r="C80" s="6"/>
      <c r="D80" s="20">
        <f>D81+D82</f>
        <v>886049754</v>
      </c>
      <c r="E80" s="20">
        <f t="shared" ref="E80:F80" si="25">E81+E82</f>
        <v>435524877</v>
      </c>
      <c r="F80" s="20">
        <f t="shared" si="25"/>
        <v>450524877</v>
      </c>
      <c r="G80" s="102"/>
      <c r="H80" s="131"/>
      <c r="I80" s="131"/>
      <c r="L80" s="30"/>
      <c r="T80" s="4"/>
      <c r="U80" s="30"/>
      <c r="V80" s="30"/>
    </row>
    <row r="81" spans="1:22" s="75" customFormat="1" ht="25.5" customHeight="1" x14ac:dyDescent="0.3">
      <c r="A81" s="24"/>
      <c r="B81" s="25" t="s">
        <v>3</v>
      </c>
      <c r="C81" s="42">
        <v>32</v>
      </c>
      <c r="D81" s="26">
        <f>SUM(E81:F81)</f>
        <v>831049754</v>
      </c>
      <c r="E81" s="26">
        <v>415524877</v>
      </c>
      <c r="F81" s="26">
        <f>E81</f>
        <v>415524877</v>
      </c>
      <c r="G81" s="103"/>
      <c r="H81" s="132">
        <v>1</v>
      </c>
      <c r="I81" s="134">
        <f>D81</f>
        <v>831049754</v>
      </c>
      <c r="L81" s="74"/>
      <c r="T81" s="140"/>
      <c r="U81" s="74"/>
      <c r="V81" s="74"/>
    </row>
    <row r="82" spans="1:22" s="12" customFormat="1" ht="39.75" customHeight="1" x14ac:dyDescent="0.3">
      <c r="A82" s="7"/>
      <c r="B82" s="48" t="s">
        <v>105</v>
      </c>
      <c r="C82" s="9">
        <v>18</v>
      </c>
      <c r="D82" s="16">
        <f t="shared" ref="D82" si="26">E82+F82</f>
        <v>55000000</v>
      </c>
      <c r="E82" s="16">
        <v>20000000</v>
      </c>
      <c r="F82" s="16">
        <v>35000000</v>
      </c>
      <c r="G82" s="136"/>
      <c r="H82" s="18"/>
      <c r="I82" s="18"/>
      <c r="K82" s="12">
        <v>182450000</v>
      </c>
      <c r="L82" s="33">
        <f>+K82/5</f>
        <v>36490000</v>
      </c>
      <c r="M82" s="33">
        <f>+L82/12</f>
        <v>3040833.3333333335</v>
      </c>
      <c r="N82" s="115">
        <f>M82*C82</f>
        <v>54735000</v>
      </c>
      <c r="T82" s="18" t="s">
        <v>112</v>
      </c>
      <c r="U82" s="33"/>
      <c r="V82" s="33"/>
    </row>
    <row r="83" spans="1:22" s="10" customFormat="1" ht="25.5" customHeight="1" x14ac:dyDescent="0.3">
      <c r="A83" s="21" t="s">
        <v>10</v>
      </c>
      <c r="B83" s="22" t="s">
        <v>28</v>
      </c>
      <c r="C83" s="22">
        <f>C85+C88+C91+C94</f>
        <v>102</v>
      </c>
      <c r="D83" s="23">
        <f>D84+D87+D90+D93</f>
        <v>3283320908</v>
      </c>
      <c r="E83" s="23">
        <f t="shared" ref="E83:F83" si="27">E84+E87+E90+E93</f>
        <v>1606160454</v>
      </c>
      <c r="F83" s="23">
        <f t="shared" si="27"/>
        <v>1677160454</v>
      </c>
      <c r="G83" s="100"/>
      <c r="H83" s="133"/>
      <c r="I83" s="133"/>
      <c r="L83" s="30"/>
      <c r="T83" s="4"/>
      <c r="U83" s="30"/>
      <c r="V83" s="30"/>
    </row>
    <row r="84" spans="1:22" s="10" customFormat="1" ht="25.5" customHeight="1" x14ac:dyDescent="0.3">
      <c r="A84" s="14">
        <v>1</v>
      </c>
      <c r="B84" s="97" t="s">
        <v>30</v>
      </c>
      <c r="C84" s="6"/>
      <c r="D84" s="20">
        <f>SUM(D85:D86)</f>
        <v>925436000</v>
      </c>
      <c r="E84" s="20">
        <f t="shared" ref="E84:F84" si="28">SUM(E85:E86)</f>
        <v>455218000</v>
      </c>
      <c r="F84" s="20">
        <f t="shared" si="28"/>
        <v>470218000</v>
      </c>
      <c r="G84" s="102"/>
      <c r="H84" s="131"/>
      <c r="I84" s="131"/>
      <c r="L84" s="30"/>
      <c r="T84" s="4"/>
      <c r="U84" s="30"/>
      <c r="V84" s="30"/>
    </row>
    <row r="85" spans="1:22" s="75" customFormat="1" ht="25.5" customHeight="1" x14ac:dyDescent="0.3">
      <c r="A85" s="24"/>
      <c r="B85" s="25" t="s">
        <v>3</v>
      </c>
      <c r="C85" s="42">
        <v>28</v>
      </c>
      <c r="D85" s="26">
        <f>SUM(E85:F85)</f>
        <v>870436000</v>
      </c>
      <c r="E85" s="26">
        <v>435218000</v>
      </c>
      <c r="F85" s="26">
        <f>E85</f>
        <v>435218000</v>
      </c>
      <c r="G85" s="103"/>
      <c r="H85" s="132">
        <v>1</v>
      </c>
      <c r="I85" s="134">
        <f>D85</f>
        <v>870436000</v>
      </c>
      <c r="K85" s="75">
        <v>33000000</v>
      </c>
      <c r="L85" s="74">
        <f>+K85*11%</f>
        <v>3630000</v>
      </c>
      <c r="M85" s="117">
        <f>+K85-L85</f>
        <v>29370000</v>
      </c>
      <c r="N85" s="74">
        <f>+M85/12</f>
        <v>2447500</v>
      </c>
      <c r="T85" s="140"/>
      <c r="U85" s="74"/>
      <c r="V85" s="74"/>
    </row>
    <row r="86" spans="1:22" s="12" customFormat="1" ht="39.75" customHeight="1" x14ac:dyDescent="0.3">
      <c r="A86" s="7"/>
      <c r="B86" s="48" t="s">
        <v>105</v>
      </c>
      <c r="C86" s="9">
        <v>18</v>
      </c>
      <c r="D86" s="16">
        <f t="shared" ref="D86" si="29">E86+F86</f>
        <v>55000000</v>
      </c>
      <c r="E86" s="16">
        <v>20000000</v>
      </c>
      <c r="F86" s="16">
        <v>35000000</v>
      </c>
      <c r="G86" s="136"/>
      <c r="H86" s="18"/>
      <c r="I86" s="18"/>
      <c r="K86" s="12">
        <v>182450000</v>
      </c>
      <c r="L86" s="33">
        <f>+K86/5</f>
        <v>36490000</v>
      </c>
      <c r="M86" s="33">
        <f>+L86/12</f>
        <v>3040833.3333333335</v>
      </c>
      <c r="N86" s="115">
        <f>M86*C86</f>
        <v>54735000</v>
      </c>
      <c r="T86" s="18" t="s">
        <v>112</v>
      </c>
      <c r="U86" s="33"/>
      <c r="V86" s="33"/>
    </row>
    <row r="87" spans="1:22" s="10" customFormat="1" ht="25.5" customHeight="1" x14ac:dyDescent="0.3">
      <c r="A87" s="14">
        <v>2</v>
      </c>
      <c r="B87" s="97" t="s">
        <v>31</v>
      </c>
      <c r="C87" s="6"/>
      <c r="D87" s="20">
        <f>SUM(D88:D89)</f>
        <v>580566908</v>
      </c>
      <c r="E87" s="20">
        <f t="shared" ref="E87:F87" si="30">SUM(E88:E89)</f>
        <v>277283454</v>
      </c>
      <c r="F87" s="20">
        <f t="shared" si="30"/>
        <v>303283454</v>
      </c>
      <c r="G87" s="102"/>
      <c r="H87" s="131"/>
      <c r="I87" s="131"/>
      <c r="L87" s="30"/>
      <c r="T87" s="4"/>
      <c r="U87" s="30"/>
      <c r="V87" s="30"/>
    </row>
    <row r="88" spans="1:22" s="75" customFormat="1" ht="25.5" customHeight="1" x14ac:dyDescent="0.3">
      <c r="A88" s="24"/>
      <c r="B88" s="25" t="s">
        <v>3</v>
      </c>
      <c r="C88" s="42">
        <v>18</v>
      </c>
      <c r="D88" s="26">
        <f>SUM(E88:F88)</f>
        <v>525566908</v>
      </c>
      <c r="E88" s="26">
        <v>257283454</v>
      </c>
      <c r="F88" s="26">
        <v>268283454</v>
      </c>
      <c r="G88" s="103"/>
      <c r="H88" s="132">
        <v>1</v>
      </c>
      <c r="I88" s="134">
        <f>D88</f>
        <v>525566908</v>
      </c>
      <c r="L88" s="74"/>
      <c r="T88" s="140"/>
      <c r="U88" s="74"/>
      <c r="V88" s="74"/>
    </row>
    <row r="89" spans="1:22" s="12" customFormat="1" ht="39.75" customHeight="1" x14ac:dyDescent="0.3">
      <c r="A89" s="7"/>
      <c r="B89" s="48" t="s">
        <v>105</v>
      </c>
      <c r="C89" s="9">
        <v>18</v>
      </c>
      <c r="D89" s="16">
        <f t="shared" ref="D89" si="31">E89+F89</f>
        <v>55000000</v>
      </c>
      <c r="E89" s="16">
        <v>20000000</v>
      </c>
      <c r="F89" s="16">
        <v>35000000</v>
      </c>
      <c r="G89" s="136"/>
      <c r="H89" s="18"/>
      <c r="I89" s="18"/>
      <c r="K89" s="12">
        <v>182450000</v>
      </c>
      <c r="L89" s="33">
        <f>+K89/5</f>
        <v>36490000</v>
      </c>
      <c r="M89" s="33">
        <f>+L89/12</f>
        <v>3040833.3333333335</v>
      </c>
      <c r="N89" s="115">
        <f>M89*C89</f>
        <v>54735000</v>
      </c>
      <c r="T89" s="18" t="s">
        <v>112</v>
      </c>
      <c r="U89" s="33"/>
      <c r="V89" s="33"/>
    </row>
    <row r="90" spans="1:22" s="10" customFormat="1" ht="25.5" customHeight="1" x14ac:dyDescent="0.3">
      <c r="A90" s="14">
        <v>3</v>
      </c>
      <c r="B90" s="97" t="s">
        <v>32</v>
      </c>
      <c r="C90" s="6"/>
      <c r="D90" s="20">
        <f>SUM(D91:D92)</f>
        <v>669318000</v>
      </c>
      <c r="E90" s="20">
        <f t="shared" ref="E90:F90" si="32">SUM(E91:E92)</f>
        <v>327159000</v>
      </c>
      <c r="F90" s="20">
        <f t="shared" si="32"/>
        <v>342159000</v>
      </c>
      <c r="G90" s="102"/>
      <c r="H90" s="131"/>
      <c r="I90" s="131"/>
      <c r="L90" s="30"/>
      <c r="T90" s="4"/>
      <c r="U90" s="30"/>
      <c r="V90" s="30"/>
    </row>
    <row r="91" spans="1:22" s="75" customFormat="1" ht="25.5" customHeight="1" x14ac:dyDescent="0.3">
      <c r="A91" s="24"/>
      <c r="B91" s="25" t="s">
        <v>3</v>
      </c>
      <c r="C91" s="42">
        <v>20</v>
      </c>
      <c r="D91" s="26">
        <f>SUM(E91:F91)</f>
        <v>614318000</v>
      </c>
      <c r="E91" s="26">
        <v>307159000</v>
      </c>
      <c r="F91" s="26">
        <f>+E91</f>
        <v>307159000</v>
      </c>
      <c r="G91" s="103"/>
      <c r="H91" s="132">
        <v>1</v>
      </c>
      <c r="I91" s="134">
        <f>D91</f>
        <v>614318000</v>
      </c>
      <c r="L91" s="74"/>
      <c r="T91" s="140"/>
      <c r="U91" s="74"/>
      <c r="V91" s="74"/>
    </row>
    <row r="92" spans="1:22" s="12" customFormat="1" ht="39.75" customHeight="1" x14ac:dyDescent="0.3">
      <c r="A92" s="7"/>
      <c r="B92" s="48" t="s">
        <v>105</v>
      </c>
      <c r="C92" s="9">
        <v>18</v>
      </c>
      <c r="D92" s="16">
        <f t="shared" ref="D92" si="33">E92+F92</f>
        <v>55000000</v>
      </c>
      <c r="E92" s="16">
        <v>20000000</v>
      </c>
      <c r="F92" s="16">
        <v>35000000</v>
      </c>
      <c r="G92" s="136"/>
      <c r="H92" s="18"/>
      <c r="I92" s="18"/>
      <c r="K92" s="12">
        <v>182450000</v>
      </c>
      <c r="L92" s="33">
        <f>+K92/5</f>
        <v>36490000</v>
      </c>
      <c r="M92" s="33">
        <f>+L92/12</f>
        <v>3040833.3333333335</v>
      </c>
      <c r="N92" s="115">
        <f>M92*C92</f>
        <v>54735000</v>
      </c>
      <c r="T92" s="18" t="s">
        <v>112</v>
      </c>
      <c r="U92" s="33"/>
      <c r="V92" s="33"/>
    </row>
    <row r="93" spans="1:22" s="10" customFormat="1" ht="25.5" customHeight="1" x14ac:dyDescent="0.3">
      <c r="A93" s="14">
        <v>4</v>
      </c>
      <c r="B93" s="97" t="s">
        <v>33</v>
      </c>
      <c r="C93" s="6"/>
      <c r="D93" s="20">
        <f>SUM(D94:D95)</f>
        <v>1108000000</v>
      </c>
      <c r="E93" s="20">
        <f t="shared" ref="E93:F93" si="34">SUM(E94:E95)</f>
        <v>546500000</v>
      </c>
      <c r="F93" s="20">
        <f t="shared" si="34"/>
        <v>561500000</v>
      </c>
      <c r="G93" s="102"/>
      <c r="H93" s="131"/>
      <c r="I93" s="131"/>
      <c r="L93" s="30"/>
      <c r="T93" s="4"/>
      <c r="U93" s="30"/>
      <c r="V93" s="30"/>
    </row>
    <row r="94" spans="1:22" s="75" customFormat="1" ht="27" customHeight="1" x14ac:dyDescent="0.3">
      <c r="A94" s="24"/>
      <c r="B94" s="25" t="s">
        <v>3</v>
      </c>
      <c r="C94" s="42">
        <v>36</v>
      </c>
      <c r="D94" s="26">
        <f>SUM(E94:F94)</f>
        <v>1053000000</v>
      </c>
      <c r="E94" s="26">
        <v>526500000</v>
      </c>
      <c r="F94" s="26">
        <f>+E94</f>
        <v>526500000</v>
      </c>
      <c r="G94" s="103"/>
      <c r="H94" s="132">
        <v>1</v>
      </c>
      <c r="I94" s="134">
        <f>D94</f>
        <v>1053000000</v>
      </c>
      <c r="L94" s="74"/>
      <c r="T94" s="140"/>
      <c r="U94" s="74"/>
      <c r="V94" s="74"/>
    </row>
    <row r="95" spans="1:22" s="12" customFormat="1" ht="39.75" customHeight="1" x14ac:dyDescent="0.3">
      <c r="A95" s="7"/>
      <c r="B95" s="48" t="s">
        <v>105</v>
      </c>
      <c r="C95" s="9">
        <v>18</v>
      </c>
      <c r="D95" s="16">
        <f t="shared" ref="D95" si="35">E95+F95</f>
        <v>55000000</v>
      </c>
      <c r="E95" s="16">
        <v>20000000</v>
      </c>
      <c r="F95" s="16">
        <v>35000000</v>
      </c>
      <c r="G95" s="136"/>
      <c r="H95" s="18"/>
      <c r="I95" s="18"/>
      <c r="K95" s="12">
        <v>182450000</v>
      </c>
      <c r="L95" s="33">
        <f>+K95/5</f>
        <v>36490000</v>
      </c>
      <c r="M95" s="33">
        <f>+L95/12</f>
        <v>3040833.3333333335</v>
      </c>
      <c r="N95" s="115">
        <f>M95*C95</f>
        <v>54735000</v>
      </c>
      <c r="T95" s="18" t="s">
        <v>112</v>
      </c>
      <c r="U95" s="33"/>
      <c r="V95" s="33"/>
    </row>
    <row r="96" spans="1:22" s="10" customFormat="1" ht="25.5" customHeight="1" x14ac:dyDescent="0.3">
      <c r="A96" s="21" t="s">
        <v>12</v>
      </c>
      <c r="B96" s="22" t="s">
        <v>34</v>
      </c>
      <c r="C96" s="22">
        <f>C98+C101+C104+C107</f>
        <v>85</v>
      </c>
      <c r="D96" s="23">
        <f>D97+D100+D103+D106</f>
        <v>2868681902</v>
      </c>
      <c r="E96" s="23">
        <f t="shared" ref="E96:F96" si="36">E97+E100+E103+E106</f>
        <v>1404340951</v>
      </c>
      <c r="F96" s="23">
        <f t="shared" si="36"/>
        <v>1464340951</v>
      </c>
      <c r="G96" s="100"/>
      <c r="H96" s="133"/>
      <c r="I96" s="133"/>
      <c r="L96" s="30"/>
      <c r="T96" s="4"/>
      <c r="U96" s="30"/>
      <c r="V96" s="30"/>
    </row>
    <row r="97" spans="1:22" s="10" customFormat="1" ht="25.5" customHeight="1" x14ac:dyDescent="0.3">
      <c r="A97" s="14">
        <v>1</v>
      </c>
      <c r="B97" s="97" t="s">
        <v>35</v>
      </c>
      <c r="C97" s="6"/>
      <c r="D97" s="20">
        <f>SUM(D98:D99)</f>
        <v>790560000</v>
      </c>
      <c r="E97" s="20">
        <f t="shared" ref="E97:F97" si="37">SUM(E98:E99)</f>
        <v>387780000</v>
      </c>
      <c r="F97" s="20">
        <f t="shared" si="37"/>
        <v>402780000</v>
      </c>
      <c r="G97" s="102"/>
      <c r="H97" s="131"/>
      <c r="I97" s="131"/>
      <c r="L97" s="30"/>
      <c r="T97" s="4"/>
      <c r="U97" s="30"/>
      <c r="V97" s="30"/>
    </row>
    <row r="98" spans="1:22" s="75" customFormat="1" ht="25.5" customHeight="1" x14ac:dyDescent="0.3">
      <c r="A98" s="24"/>
      <c r="B98" s="25" t="s">
        <v>3</v>
      </c>
      <c r="C98" s="42">
        <v>24</v>
      </c>
      <c r="D98" s="26">
        <f>SUM(E98:F98)</f>
        <v>735560000</v>
      </c>
      <c r="E98" s="26">
        <v>367780000</v>
      </c>
      <c r="F98" s="26">
        <f>+E98</f>
        <v>367780000</v>
      </c>
      <c r="G98" s="103"/>
      <c r="H98" s="132">
        <v>1</v>
      </c>
      <c r="I98" s="134">
        <f>D98</f>
        <v>735560000</v>
      </c>
      <c r="L98" s="74"/>
      <c r="T98" s="140"/>
      <c r="U98" s="74"/>
      <c r="V98" s="74"/>
    </row>
    <row r="99" spans="1:22" s="12" customFormat="1" ht="39.75" customHeight="1" x14ac:dyDescent="0.3">
      <c r="A99" s="7"/>
      <c r="B99" s="48" t="s">
        <v>105</v>
      </c>
      <c r="C99" s="9">
        <v>18</v>
      </c>
      <c r="D99" s="16">
        <f t="shared" ref="D99" si="38">E99+F99</f>
        <v>55000000</v>
      </c>
      <c r="E99" s="16">
        <v>20000000</v>
      </c>
      <c r="F99" s="16">
        <v>35000000</v>
      </c>
      <c r="G99" s="136"/>
      <c r="H99" s="18"/>
      <c r="I99" s="18"/>
      <c r="K99" s="12">
        <v>182450000</v>
      </c>
      <c r="L99" s="33">
        <f>+K99/5</f>
        <v>36490000</v>
      </c>
      <c r="M99" s="33">
        <f>+L99/12</f>
        <v>3040833.3333333335</v>
      </c>
      <c r="N99" s="115">
        <f>M99*C99</f>
        <v>54735000</v>
      </c>
      <c r="T99" s="18" t="s">
        <v>112</v>
      </c>
      <c r="U99" s="33"/>
      <c r="V99" s="33"/>
    </row>
    <row r="100" spans="1:22" s="10" customFormat="1" ht="25.5" customHeight="1" x14ac:dyDescent="0.3">
      <c r="A100" s="14">
        <v>2</v>
      </c>
      <c r="B100" s="97" t="s">
        <v>36</v>
      </c>
      <c r="C100" s="6"/>
      <c r="D100" s="20">
        <f>SUM(D101:D102)</f>
        <v>512666594</v>
      </c>
      <c r="E100" s="20">
        <f t="shared" ref="E100:F100" si="39">SUM(E101:E102)</f>
        <v>248833297</v>
      </c>
      <c r="F100" s="20">
        <f t="shared" si="39"/>
        <v>263833297</v>
      </c>
      <c r="G100" s="102"/>
      <c r="H100" s="131"/>
      <c r="I100" s="131"/>
      <c r="L100" s="30"/>
      <c r="T100" s="4"/>
      <c r="U100" s="30"/>
      <c r="V100" s="30"/>
    </row>
    <row r="101" spans="1:22" s="75" customFormat="1" ht="25.5" customHeight="1" x14ac:dyDescent="0.3">
      <c r="A101" s="24"/>
      <c r="B101" s="25" t="s">
        <v>3</v>
      </c>
      <c r="C101" s="42">
        <v>18</v>
      </c>
      <c r="D101" s="26">
        <f>SUM(E101:F101)</f>
        <v>457666594</v>
      </c>
      <c r="E101" s="26">
        <v>228833297</v>
      </c>
      <c r="F101" s="26">
        <f>+E101</f>
        <v>228833297</v>
      </c>
      <c r="G101" s="103"/>
      <c r="H101" s="132">
        <v>1</v>
      </c>
      <c r="I101" s="134">
        <f>D101</f>
        <v>457666594</v>
      </c>
      <c r="L101" s="74"/>
      <c r="T101" s="140"/>
      <c r="U101" s="74"/>
      <c r="V101" s="74"/>
    </row>
    <row r="102" spans="1:22" s="12" customFormat="1" ht="39.75" customHeight="1" x14ac:dyDescent="0.3">
      <c r="A102" s="7"/>
      <c r="B102" s="48" t="s">
        <v>105</v>
      </c>
      <c r="C102" s="9">
        <v>18</v>
      </c>
      <c r="D102" s="16">
        <f t="shared" ref="D102" si="40">E102+F102</f>
        <v>55000000</v>
      </c>
      <c r="E102" s="16">
        <v>20000000</v>
      </c>
      <c r="F102" s="16">
        <v>35000000</v>
      </c>
      <c r="G102" s="136"/>
      <c r="H102" s="18"/>
      <c r="I102" s="18"/>
      <c r="K102" s="12">
        <v>182450000</v>
      </c>
      <c r="L102" s="33">
        <f>+K102/5</f>
        <v>36490000</v>
      </c>
      <c r="M102" s="33">
        <f>+L102/12</f>
        <v>3040833.3333333335</v>
      </c>
      <c r="N102" s="115">
        <f>M102*C102</f>
        <v>54735000</v>
      </c>
      <c r="T102" s="18" t="s">
        <v>112</v>
      </c>
      <c r="U102" s="33"/>
      <c r="V102" s="33"/>
    </row>
    <row r="103" spans="1:22" s="10" customFormat="1" ht="25.5" customHeight="1" x14ac:dyDescent="0.3">
      <c r="A103" s="14">
        <v>3</v>
      </c>
      <c r="B103" s="97" t="s">
        <v>37</v>
      </c>
      <c r="C103" s="6"/>
      <c r="D103" s="20">
        <f>SUM(D104:D105)</f>
        <v>632455308</v>
      </c>
      <c r="E103" s="20">
        <f t="shared" ref="E103:F103" si="41">SUM(E104:E105)</f>
        <v>308727654</v>
      </c>
      <c r="F103" s="20">
        <f t="shared" si="41"/>
        <v>323727654</v>
      </c>
      <c r="G103" s="102"/>
      <c r="H103" s="131"/>
      <c r="I103" s="131"/>
      <c r="L103" s="30"/>
      <c r="T103" s="4"/>
      <c r="U103" s="30"/>
      <c r="V103" s="30"/>
    </row>
    <row r="104" spans="1:22" s="75" customFormat="1" ht="30" customHeight="1" x14ac:dyDescent="0.3">
      <c r="A104" s="24"/>
      <c r="B104" s="25" t="s">
        <v>3</v>
      </c>
      <c r="C104" s="42">
        <v>17</v>
      </c>
      <c r="D104" s="26">
        <f>SUM(E104:F104)</f>
        <v>577455308</v>
      </c>
      <c r="E104" s="26">
        <v>288727654</v>
      </c>
      <c r="F104" s="26">
        <f>+E104</f>
        <v>288727654</v>
      </c>
      <c r="G104" s="103"/>
      <c r="H104" s="132">
        <v>1</v>
      </c>
      <c r="I104" s="134">
        <f>D104</f>
        <v>577455308</v>
      </c>
      <c r="L104" s="74"/>
      <c r="T104" s="140"/>
      <c r="U104" s="74"/>
      <c r="V104" s="74"/>
    </row>
    <row r="105" spans="1:22" s="12" customFormat="1" ht="39.75" customHeight="1" x14ac:dyDescent="0.3">
      <c r="A105" s="7"/>
      <c r="B105" s="48" t="s">
        <v>105</v>
      </c>
      <c r="C105" s="9">
        <v>18</v>
      </c>
      <c r="D105" s="16">
        <f t="shared" ref="D105" si="42">E105+F105</f>
        <v>55000000</v>
      </c>
      <c r="E105" s="16">
        <v>20000000</v>
      </c>
      <c r="F105" s="16">
        <v>35000000</v>
      </c>
      <c r="G105" s="136"/>
      <c r="H105" s="18"/>
      <c r="I105" s="18"/>
      <c r="K105" s="12">
        <v>182450000</v>
      </c>
      <c r="L105" s="33">
        <f>+K105/5</f>
        <v>36490000</v>
      </c>
      <c r="M105" s="33">
        <f>+L105/12</f>
        <v>3040833.3333333335</v>
      </c>
      <c r="N105" s="115">
        <f>M105*C105</f>
        <v>54735000</v>
      </c>
      <c r="T105" s="18" t="s">
        <v>112</v>
      </c>
      <c r="U105" s="33"/>
      <c r="V105" s="33"/>
    </row>
    <row r="106" spans="1:22" s="10" customFormat="1" ht="25.5" customHeight="1" x14ac:dyDescent="0.3">
      <c r="A106" s="14">
        <v>4</v>
      </c>
      <c r="B106" s="97" t="s">
        <v>38</v>
      </c>
      <c r="C106" s="6"/>
      <c r="D106" s="20">
        <f>SUM(D107:D108)</f>
        <v>933000000</v>
      </c>
      <c r="E106" s="20">
        <f t="shared" ref="E106:F106" si="43">SUM(E107:E108)</f>
        <v>459000000</v>
      </c>
      <c r="F106" s="20">
        <f t="shared" si="43"/>
        <v>474000000</v>
      </c>
      <c r="G106" s="102"/>
      <c r="H106" s="131"/>
      <c r="I106" s="131"/>
      <c r="L106" s="30"/>
      <c r="T106" s="4"/>
      <c r="U106" s="30"/>
      <c r="V106" s="30"/>
    </row>
    <row r="107" spans="1:22" s="75" customFormat="1" ht="31.5" customHeight="1" x14ac:dyDescent="0.3">
      <c r="A107" s="24"/>
      <c r="B107" s="25" t="s">
        <v>3</v>
      </c>
      <c r="C107" s="42">
        <v>26</v>
      </c>
      <c r="D107" s="26">
        <f>SUM(E107:F107)</f>
        <v>878000000</v>
      </c>
      <c r="E107" s="26">
        <v>439000000</v>
      </c>
      <c r="F107" s="26">
        <f>+E107</f>
        <v>439000000</v>
      </c>
      <c r="G107" s="103"/>
      <c r="H107" s="132">
        <v>1</v>
      </c>
      <c r="I107" s="134">
        <f>D107</f>
        <v>878000000</v>
      </c>
      <c r="L107" s="74"/>
      <c r="T107" s="140"/>
      <c r="U107" s="74"/>
      <c r="V107" s="74"/>
    </row>
    <row r="108" spans="1:22" s="12" customFormat="1" ht="39.75" customHeight="1" x14ac:dyDescent="0.3">
      <c r="A108" s="53"/>
      <c r="B108" s="62" t="s">
        <v>105</v>
      </c>
      <c r="C108" s="54">
        <v>18</v>
      </c>
      <c r="D108" s="55">
        <f t="shared" ref="D108" si="44">E108+F108</f>
        <v>55000000</v>
      </c>
      <c r="E108" s="55">
        <v>20000000</v>
      </c>
      <c r="F108" s="55">
        <v>35000000</v>
      </c>
      <c r="G108" s="139"/>
      <c r="H108" s="18"/>
      <c r="I108" s="18"/>
      <c r="K108" s="12">
        <v>182450000</v>
      </c>
      <c r="L108" s="33">
        <f>+K108/5</f>
        <v>36490000</v>
      </c>
      <c r="M108" s="33">
        <f>+L108/12</f>
        <v>3040833.3333333335</v>
      </c>
      <c r="N108" s="115">
        <f>M108*C108</f>
        <v>54735000</v>
      </c>
      <c r="T108" s="18" t="s">
        <v>112</v>
      </c>
      <c r="U108" s="33"/>
      <c r="V108" s="33"/>
    </row>
    <row r="109" spans="1:22" ht="25.5" customHeight="1" x14ac:dyDescent="0.3">
      <c r="A109" s="18"/>
      <c r="B109" s="19"/>
      <c r="C109" s="43"/>
      <c r="D109" s="28"/>
      <c r="E109" s="28"/>
      <c r="F109" s="28"/>
      <c r="G109" s="18"/>
      <c r="H109" s="18"/>
      <c r="I109" s="18"/>
    </row>
  </sheetData>
  <autoFilter ref="A7:P108"/>
  <mergeCells count="8"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" right="0" top="0.39370078740157483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="85" zoomScaleNormal="85" workbookViewId="0">
      <selection activeCell="L17" sqref="L17"/>
    </sheetView>
  </sheetViews>
  <sheetFormatPr defaultRowHeight="18.75" x14ac:dyDescent="0.3"/>
  <cols>
    <col min="1" max="1" width="6.5546875" style="157" customWidth="1"/>
    <col min="2" max="2" width="44.44140625" style="158" customWidth="1"/>
    <col min="3" max="3" width="8.5546875" style="158" customWidth="1"/>
    <col min="4" max="6" width="7.44140625" style="158" customWidth="1"/>
    <col min="7" max="7" width="16" style="159" customWidth="1"/>
    <col min="8" max="8" width="14.44140625" style="157" customWidth="1"/>
    <col min="9" max="9" width="8.88671875" style="157"/>
    <col min="10" max="10" width="12.109375" style="157" bestFit="1" customWidth="1"/>
    <col min="11" max="11" width="8.88671875" style="157"/>
    <col min="12" max="12" width="13.88671875" style="157" bestFit="1" customWidth="1"/>
    <col min="13" max="13" width="8.88671875" style="157"/>
    <col min="14" max="14" width="14" style="157" bestFit="1" customWidth="1"/>
    <col min="15" max="15" width="21.5546875" style="157" customWidth="1"/>
    <col min="16" max="16384" width="8.88671875" style="157"/>
  </cols>
  <sheetData>
    <row r="1" spans="1:20" x14ac:dyDescent="0.3">
      <c r="H1" s="160"/>
    </row>
    <row r="2" spans="1:20" ht="29.25" customHeight="1" x14ac:dyDescent="0.3">
      <c r="A2" s="200" t="s">
        <v>131</v>
      </c>
      <c r="B2" s="201"/>
      <c r="C2" s="201"/>
      <c r="D2" s="201"/>
      <c r="E2" s="201"/>
      <c r="F2" s="201"/>
      <c r="G2" s="201"/>
      <c r="H2" s="201"/>
    </row>
    <row r="3" spans="1:20" ht="27" customHeight="1" x14ac:dyDescent="0.3">
      <c r="A3" s="202" t="s">
        <v>142</v>
      </c>
      <c r="B3" s="202"/>
      <c r="C3" s="202"/>
      <c r="D3" s="202"/>
      <c r="E3" s="202"/>
      <c r="F3" s="202"/>
      <c r="G3" s="202"/>
      <c r="H3" s="202"/>
    </row>
    <row r="4" spans="1:20" x14ac:dyDescent="0.3">
      <c r="H4" s="161" t="s">
        <v>2</v>
      </c>
    </row>
    <row r="5" spans="1:20" s="4" customFormat="1" x14ac:dyDescent="0.3">
      <c r="A5" s="203" t="s">
        <v>0</v>
      </c>
      <c r="B5" s="204" t="s">
        <v>117</v>
      </c>
      <c r="C5" s="206" t="s">
        <v>39</v>
      </c>
      <c r="D5" s="207"/>
      <c r="E5" s="207"/>
      <c r="F5" s="208"/>
      <c r="G5" s="205" t="s">
        <v>40</v>
      </c>
      <c r="H5" s="203" t="s">
        <v>1</v>
      </c>
      <c r="Q5" s="162"/>
      <c r="R5" s="162"/>
    </row>
    <row r="6" spans="1:20" s="4" customFormat="1" ht="45" customHeight="1" x14ac:dyDescent="0.3">
      <c r="A6" s="203"/>
      <c r="B6" s="204"/>
      <c r="C6" s="6" t="s">
        <v>129</v>
      </c>
      <c r="D6" s="6" t="s">
        <v>118</v>
      </c>
      <c r="E6" s="6" t="s">
        <v>119</v>
      </c>
      <c r="F6" s="6" t="s">
        <v>120</v>
      </c>
      <c r="G6" s="205"/>
      <c r="H6" s="203"/>
      <c r="J6" s="163"/>
      <c r="Q6" s="162"/>
      <c r="R6" s="162"/>
    </row>
    <row r="7" spans="1:20" s="131" customFormat="1" ht="13.5" customHeight="1" x14ac:dyDescent="0.3">
      <c r="A7" s="102">
        <v>1</v>
      </c>
      <c r="B7" s="164">
        <v>2</v>
      </c>
      <c r="C7" s="164">
        <v>3</v>
      </c>
      <c r="D7" s="164">
        <v>4</v>
      </c>
      <c r="E7" s="164">
        <v>5</v>
      </c>
      <c r="F7" s="164">
        <v>6</v>
      </c>
      <c r="G7" s="164">
        <v>7</v>
      </c>
      <c r="H7" s="164">
        <v>8</v>
      </c>
      <c r="J7" s="165"/>
      <c r="Q7" s="166"/>
      <c r="R7" s="166"/>
    </row>
    <row r="8" spans="1:20" s="11" customFormat="1" ht="29.25" customHeight="1" x14ac:dyDescent="0.3">
      <c r="A8" s="167"/>
      <c r="B8" s="168" t="s">
        <v>130</v>
      </c>
      <c r="C8" s="168"/>
      <c r="D8" s="168"/>
      <c r="E8" s="168"/>
      <c r="F8" s="168"/>
      <c r="G8" s="169">
        <f>+G9+G12+G15</f>
        <v>895224826</v>
      </c>
      <c r="H8" s="167"/>
      <c r="I8" s="11" t="s">
        <v>132</v>
      </c>
      <c r="Q8" s="170"/>
      <c r="R8" s="170"/>
      <c r="T8" s="171"/>
    </row>
    <row r="9" spans="1:20" s="11" customFormat="1" ht="29.25" customHeight="1" x14ac:dyDescent="0.3">
      <c r="A9" s="167" t="s">
        <v>8</v>
      </c>
      <c r="B9" s="168" t="s">
        <v>29</v>
      </c>
      <c r="C9" s="168"/>
      <c r="D9" s="168"/>
      <c r="E9" s="168"/>
      <c r="F9" s="168"/>
      <c r="G9" s="169">
        <f>+SUM(G10:G11)</f>
        <v>160815689</v>
      </c>
      <c r="H9" s="167"/>
      <c r="Q9" s="170"/>
      <c r="R9" s="170"/>
      <c r="T9" s="171"/>
    </row>
    <row r="10" spans="1:20" s="18" customFormat="1" ht="29.25" customHeight="1" x14ac:dyDescent="0.3">
      <c r="A10" s="183">
        <v>1</v>
      </c>
      <c r="B10" s="184" t="s">
        <v>133</v>
      </c>
      <c r="C10" s="185">
        <v>1126748</v>
      </c>
      <c r="D10" s="172">
        <v>822</v>
      </c>
      <c r="E10" s="173" t="s">
        <v>134</v>
      </c>
      <c r="F10" s="172">
        <v>12</v>
      </c>
      <c r="G10" s="174">
        <v>21067193</v>
      </c>
      <c r="H10" s="175"/>
      <c r="J10" s="176"/>
      <c r="Q10" s="177"/>
      <c r="R10" s="177"/>
      <c r="T10" s="134"/>
    </row>
    <row r="11" spans="1:20" s="18" customFormat="1" ht="29.25" customHeight="1" x14ac:dyDescent="0.3">
      <c r="A11" s="183">
        <v>2</v>
      </c>
      <c r="B11" s="184" t="s">
        <v>135</v>
      </c>
      <c r="C11" s="183">
        <v>1126747</v>
      </c>
      <c r="D11" s="172">
        <v>822</v>
      </c>
      <c r="E11" s="173" t="s">
        <v>134</v>
      </c>
      <c r="F11" s="172">
        <v>12</v>
      </c>
      <c r="G11" s="174">
        <v>139748496</v>
      </c>
      <c r="H11" s="175"/>
      <c r="J11" s="176"/>
      <c r="Q11" s="177"/>
      <c r="R11" s="177"/>
      <c r="T11" s="134"/>
    </row>
    <row r="12" spans="1:20" s="4" customFormat="1" ht="29.25" customHeight="1" x14ac:dyDescent="0.3">
      <c r="A12" s="167" t="s">
        <v>10</v>
      </c>
      <c r="B12" s="168" t="s">
        <v>28</v>
      </c>
      <c r="C12" s="167"/>
      <c r="D12" s="168"/>
      <c r="E12" s="179"/>
      <c r="F12" s="168"/>
      <c r="G12" s="169">
        <f>+SUM(G13:G14)</f>
        <v>508829000</v>
      </c>
      <c r="H12" s="167"/>
      <c r="J12" s="163"/>
      <c r="Q12" s="162"/>
      <c r="R12" s="162"/>
    </row>
    <row r="13" spans="1:20" s="140" customFormat="1" ht="29.25" customHeight="1" x14ac:dyDescent="0.3">
      <c r="A13" s="183">
        <v>1</v>
      </c>
      <c r="B13" s="184" t="s">
        <v>136</v>
      </c>
      <c r="C13" s="186">
        <v>1020358</v>
      </c>
      <c r="D13" s="172">
        <v>822</v>
      </c>
      <c r="E13" s="173" t="s">
        <v>137</v>
      </c>
      <c r="F13" s="172">
        <v>12</v>
      </c>
      <c r="G13" s="174">
        <v>279315000</v>
      </c>
      <c r="H13" s="175"/>
      <c r="Q13" s="178"/>
      <c r="R13" s="178"/>
    </row>
    <row r="14" spans="1:20" s="140" customFormat="1" ht="29.25" customHeight="1" x14ac:dyDescent="0.3">
      <c r="A14" s="183">
        <v>2</v>
      </c>
      <c r="B14" s="184" t="s">
        <v>138</v>
      </c>
      <c r="C14" s="183">
        <v>1020590</v>
      </c>
      <c r="D14" s="172">
        <v>822</v>
      </c>
      <c r="E14" s="173" t="s">
        <v>137</v>
      </c>
      <c r="F14" s="172">
        <v>12</v>
      </c>
      <c r="G14" s="174">
        <v>229514000</v>
      </c>
      <c r="H14" s="175"/>
      <c r="Q14" s="178"/>
      <c r="R14" s="178"/>
      <c r="T14" s="180"/>
    </row>
    <row r="15" spans="1:20" s="4" customFormat="1" ht="29.25" customHeight="1" x14ac:dyDescent="0.3">
      <c r="A15" s="167" t="s">
        <v>12</v>
      </c>
      <c r="B15" s="168" t="s">
        <v>34</v>
      </c>
      <c r="C15" s="168"/>
      <c r="D15" s="168"/>
      <c r="E15" s="179"/>
      <c r="F15" s="168"/>
      <c r="G15" s="169">
        <f>SUM(G16:G17)</f>
        <v>225580137</v>
      </c>
      <c r="H15" s="167"/>
      <c r="Q15" s="162"/>
      <c r="R15" s="162"/>
      <c r="T15" s="181"/>
    </row>
    <row r="16" spans="1:20" s="140" customFormat="1" ht="29.25" customHeight="1" x14ac:dyDescent="0.3">
      <c r="A16" s="183">
        <v>1</v>
      </c>
      <c r="B16" s="184" t="s">
        <v>139</v>
      </c>
      <c r="C16" s="183">
        <v>1080421</v>
      </c>
      <c r="D16" s="172">
        <v>822</v>
      </c>
      <c r="E16" s="173" t="s">
        <v>140</v>
      </c>
      <c r="F16" s="172">
        <v>12</v>
      </c>
      <c r="G16" s="174">
        <v>80791137</v>
      </c>
      <c r="H16" s="175"/>
      <c r="Q16" s="178"/>
      <c r="R16" s="178"/>
    </row>
    <row r="17" spans="1:18" s="140" customFormat="1" ht="29.25" customHeight="1" x14ac:dyDescent="0.3">
      <c r="A17" s="183">
        <v>2</v>
      </c>
      <c r="B17" s="184" t="s">
        <v>141</v>
      </c>
      <c r="C17" s="183">
        <v>1070296</v>
      </c>
      <c r="D17" s="172">
        <v>822</v>
      </c>
      <c r="E17" s="173" t="s">
        <v>140</v>
      </c>
      <c r="F17" s="172">
        <v>12</v>
      </c>
      <c r="G17" s="174">
        <v>144789000</v>
      </c>
      <c r="H17" s="175"/>
      <c r="Q17" s="178"/>
      <c r="R17" s="178"/>
    </row>
    <row r="18" spans="1:18" s="2" customFormat="1" ht="30.75" customHeight="1" x14ac:dyDescent="0.3">
      <c r="A18" s="199" t="s">
        <v>143</v>
      </c>
      <c r="B18" s="199"/>
      <c r="C18" s="199"/>
      <c r="D18" s="199"/>
      <c r="E18" s="199"/>
      <c r="F18" s="199"/>
      <c r="G18" s="199"/>
      <c r="H18" s="199"/>
      <c r="Q18" s="182"/>
      <c r="R18" s="182"/>
    </row>
  </sheetData>
  <autoFilter ref="A7:H8"/>
  <mergeCells count="8">
    <mergeCell ref="A18:H18"/>
    <mergeCell ref="A2:H2"/>
    <mergeCell ref="A3:H3"/>
    <mergeCell ref="A5:A6"/>
    <mergeCell ref="B5:B6"/>
    <mergeCell ref="G5:G6"/>
    <mergeCell ref="H5:H6"/>
    <mergeCell ref="C5:F5"/>
  </mergeCells>
  <printOptions horizontalCentered="1"/>
  <pageMargins left="0" right="0" top="0.39370078740157499" bottom="0" header="0.31496062992126" footer="0.3149606299212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Biểu tạm cấp</vt:lpstr>
      <vt:lpstr>Biểu 01</vt:lpstr>
      <vt:lpstr>'Biểu 01'!Print_Titles</vt:lpstr>
      <vt:lpstr>'Biểu tạm cấp'!Print_Titles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Sky123.Org</cp:lastModifiedBy>
  <cp:lastPrinted>2026-03-19T03:58:30Z</cp:lastPrinted>
  <dcterms:created xsi:type="dcterms:W3CDTF">2025-07-08T11:12:47Z</dcterms:created>
  <dcterms:modified xsi:type="dcterms:W3CDTF">2026-05-20T01:10:51Z</dcterms:modified>
</cp:coreProperties>
</file>